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codeName="ЭтаКнига" defaultThemeVersion="124226"/>
  <workbookProtection workbookPassword="CE28" lockStructure="1"/>
  <bookViews>
    <workbookView xWindow="120" yWindow="10425" windowWidth="15120" windowHeight="8010" tabRatio="671" activeTab="3"/>
  </bookViews>
  <sheets>
    <sheet name="Помощь" sheetId="21" r:id="rId1"/>
    <sheet name="Титул" sheetId="3" r:id="rId2"/>
    <sheet name="СлужбаОТ" sheetId="10" r:id="rId3"/>
    <sheet name="Обучение" sheetId="11" r:id="rId4"/>
    <sheet name="COYT" sheetId="20" r:id="rId5"/>
    <sheet name="APM" sheetId="2" r:id="rId6"/>
    <sheet name="BPED" sheetId="8" r:id="rId7"/>
    <sheet name="KOM" sheetId="4" r:id="rId8"/>
    <sheet name="Затраты" sheetId="19" r:id="rId9"/>
  </sheets>
  <definedNames>
    <definedName name="_xlnm._FilterDatabase" localSheetId="5" hidden="1">APM!$A$1:$K$6</definedName>
    <definedName name="_xlnm._FilterDatabase" localSheetId="2" hidden="1">СлужбаОТ!$R$1:$R$5</definedName>
    <definedName name="List1">СлужбаОТ!$A$40:$A$89</definedName>
    <definedName name="List2">Обучение!$H$48:$H$147</definedName>
    <definedName name="List3">COYT!$AM$35:$AM$334</definedName>
    <definedName name="List4">APM!$I$40:$I$89</definedName>
    <definedName name="_xlnm.Print_Titles" localSheetId="8">Затраты!$3:$3</definedName>
    <definedName name="_xlnm.Print_Area" localSheetId="5">APM!$A$1:$G$30</definedName>
    <definedName name="_xlnm.Print_Area" localSheetId="6">BPED!$A$1:$F$17</definedName>
    <definedName name="_xlnm.Print_Area" localSheetId="4">COYT!$A$1:$AJ$34</definedName>
    <definedName name="_xlnm.Print_Area" localSheetId="7">KOM!$A$1:$G$16</definedName>
    <definedName name="_xlnm.Print_Area" localSheetId="8">Затраты!$A$1:$F$42</definedName>
    <definedName name="_xlnm.Print_Area" localSheetId="3">Обучение!$A$1:$E$32</definedName>
    <definedName name="_xlnm.Print_Area" localSheetId="2">СлужбаОТ!$A$1:$P$35</definedName>
    <definedName name="_xlnm.Print_Area" localSheetId="1">Титул!$A$1:$E$22</definedName>
  </definedNames>
  <calcPr calcId="144525"/>
</workbook>
</file>

<file path=xl/calcChain.xml><?xml version="1.0" encoding="utf-8"?>
<calcChain xmlns="http://schemas.openxmlformats.org/spreadsheetml/2006/main">
  <c r="F8" i="3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P6" i="11"/>
  <c r="AM58" i="20"/>
  <c r="AM59" i="20"/>
  <c r="AM60" i="20"/>
  <c r="AM61" i="20"/>
  <c r="H96" i="11"/>
  <c r="H95" i="11"/>
  <c r="J6" i="4"/>
  <c r="J4" i="4"/>
  <c r="A24" i="4" s="1"/>
  <c r="J5" i="4"/>
  <c r="K13" i="8"/>
  <c r="K6" i="8"/>
  <c r="A29" i="8" s="1"/>
  <c r="K19" i="8"/>
  <c r="K12" i="8"/>
  <c r="K18" i="8"/>
  <c r="K11" i="8"/>
  <c r="K4" i="8" s="1"/>
  <c r="K17" i="8"/>
  <c r="A92" i="11"/>
  <c r="Q6" i="10"/>
  <c r="I23" i="11" s="1"/>
  <c r="A94" i="11" s="1"/>
  <c r="R3" i="10"/>
  <c r="A49" i="11"/>
  <c r="A50" i="11"/>
  <c r="A51" i="11"/>
  <c r="A82" i="11"/>
  <c r="A57" i="11"/>
  <c r="A52" i="11"/>
  <c r="A48" i="11"/>
  <c r="S15" i="10"/>
  <c r="R15" i="10"/>
  <c r="S17" i="10"/>
  <c r="S19" i="10"/>
  <c r="F2" i="3"/>
  <c r="I63" i="2"/>
  <c r="I64" i="2"/>
  <c r="I65" i="2"/>
  <c r="I62" i="2"/>
  <c r="F3" i="3"/>
  <c r="F4" i="3" s="1"/>
  <c r="F5" i="3" s="1"/>
  <c r="S18" i="11"/>
  <c r="K14" i="8"/>
  <c r="K20" i="8"/>
  <c r="K15" i="8"/>
  <c r="K8" i="8" s="1"/>
  <c r="A33" i="8" s="1"/>
  <c r="K21" i="8"/>
  <c r="H3" i="8"/>
  <c r="A28" i="8" s="1"/>
  <c r="H2" i="8"/>
  <c r="A24" i="8" s="1"/>
  <c r="I2" i="8"/>
  <c r="A26" i="8" s="1"/>
  <c r="I3" i="8"/>
  <c r="A30" i="8" s="1"/>
  <c r="J3" i="8"/>
  <c r="J7" i="8" s="1"/>
  <c r="A36" i="8"/>
  <c r="A35" i="8"/>
  <c r="N10" i="8"/>
  <c r="N6" i="8"/>
  <c r="N4" i="8"/>
  <c r="N11" i="8"/>
  <c r="N5" i="8"/>
  <c r="N7" i="8"/>
  <c r="N8" i="8"/>
  <c r="N9" i="8"/>
  <c r="N12" i="8"/>
  <c r="N13" i="8"/>
  <c r="N14" i="8"/>
  <c r="N15" i="8"/>
  <c r="N16" i="8"/>
  <c r="N17" i="8"/>
  <c r="A34" i="8"/>
  <c r="H18" i="8"/>
  <c r="A18" i="8" s="1"/>
  <c r="K10" i="8"/>
  <c r="N7" i="4"/>
  <c r="N8" i="4"/>
  <c r="N9" i="4"/>
  <c r="I4" i="4"/>
  <c r="A23" i="4" s="1"/>
  <c r="N15" i="4"/>
  <c r="N14" i="4"/>
  <c r="N13" i="4"/>
  <c r="I6" i="4"/>
  <c r="M9" i="4" s="1"/>
  <c r="A31" i="4"/>
  <c r="I5" i="4"/>
  <c r="A28" i="4" s="1"/>
  <c r="A21" i="4"/>
  <c r="A20" i="4"/>
  <c r="I16" i="2"/>
  <c r="A40" i="2" s="1"/>
  <c r="M16" i="2"/>
  <c r="M31" i="2" s="1"/>
  <c r="Q18" i="2"/>
  <c r="I15" i="2"/>
  <c r="Q24" i="2"/>
  <c r="K24" i="2" s="1"/>
  <c r="L16" i="2"/>
  <c r="L24" i="2" s="1"/>
  <c r="K16" i="2"/>
  <c r="J16" i="2"/>
  <c r="A46" i="2" s="1"/>
  <c r="Q23" i="2"/>
  <c r="Q17" i="2"/>
  <c r="Q19" i="2"/>
  <c r="Q20" i="2"/>
  <c r="M15" i="2"/>
  <c r="Q21" i="2"/>
  <c r="Q22" i="2"/>
  <c r="L15" i="2"/>
  <c r="K15" i="2"/>
  <c r="J15" i="2"/>
  <c r="P17" i="2"/>
  <c r="P18" i="2"/>
  <c r="P19" i="2"/>
  <c r="P20" i="2"/>
  <c r="P21" i="2"/>
  <c r="P22" i="2"/>
  <c r="P23" i="2"/>
  <c r="P24" i="2"/>
  <c r="P25" i="2"/>
  <c r="P26" i="2"/>
  <c r="O17" i="2"/>
  <c r="O18" i="2"/>
  <c r="O24" i="2"/>
  <c r="O20" i="2"/>
  <c r="O23" i="2"/>
  <c r="O19" i="2"/>
  <c r="O21" i="2"/>
  <c r="O22" i="2"/>
  <c r="O25" i="2"/>
  <c r="O26" i="2"/>
  <c r="N17" i="2"/>
  <c r="N18" i="2"/>
  <c r="N24" i="2"/>
  <c r="N19" i="2"/>
  <c r="N20" i="2"/>
  <c r="N23" i="2"/>
  <c r="N21" i="2"/>
  <c r="N22" i="2"/>
  <c r="N25" i="2"/>
  <c r="N26" i="2"/>
  <c r="Q25" i="2"/>
  <c r="K25" i="2" s="1"/>
  <c r="Q26" i="2"/>
  <c r="M26" i="2" s="1"/>
  <c r="A77" i="2"/>
  <c r="A76" i="2"/>
  <c r="A75" i="2"/>
  <c r="A74" i="2"/>
  <c r="A73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J29" i="2"/>
  <c r="I28" i="2" s="1"/>
  <c r="A80" i="2" s="1"/>
  <c r="K10" i="2"/>
  <c r="I10" i="2" s="1"/>
  <c r="A79" i="2" s="1"/>
  <c r="AL3" i="20"/>
  <c r="A49" i="20" s="1"/>
  <c r="AQ3" i="20"/>
  <c r="AT6" i="20"/>
  <c r="AP3" i="20"/>
  <c r="AU3" i="20"/>
  <c r="AT7" i="20"/>
  <c r="AT9" i="20"/>
  <c r="AT11" i="20"/>
  <c r="AT10" i="20"/>
  <c r="AT12" i="20"/>
  <c r="AT8" i="20"/>
  <c r="AT13" i="20"/>
  <c r="AT3" i="20"/>
  <c r="A57" i="20" s="1"/>
  <c r="AO3" i="20"/>
  <c r="A52" i="20" s="1"/>
  <c r="AS3" i="20"/>
  <c r="AN3" i="20"/>
  <c r="AR3" i="20"/>
  <c r="AM3" i="20"/>
  <c r="AS9" i="20"/>
  <c r="AS6" i="20"/>
  <c r="AS7" i="20"/>
  <c r="AS8" i="20"/>
  <c r="AS10" i="20"/>
  <c r="AS11" i="20"/>
  <c r="AS12" i="20"/>
  <c r="AS13" i="20"/>
  <c r="AR9" i="20"/>
  <c r="AR6" i="20"/>
  <c r="AR7" i="20"/>
  <c r="AR8" i="20"/>
  <c r="AR11" i="20"/>
  <c r="AR10" i="20"/>
  <c r="AR12" i="20"/>
  <c r="AR13" i="20"/>
  <c r="AQ8" i="20"/>
  <c r="AQ9" i="20"/>
  <c r="AQ6" i="20"/>
  <c r="AQ7" i="20"/>
  <c r="AQ10" i="20"/>
  <c r="AQ11" i="20"/>
  <c r="AQ12" i="20"/>
  <c r="AQ13" i="20"/>
  <c r="A64" i="20"/>
  <c r="A63" i="20"/>
  <c r="N10" i="4"/>
  <c r="A81" i="11"/>
  <c r="A80" i="11"/>
  <c r="A79" i="11"/>
  <c r="A78" i="11"/>
  <c r="A77" i="11"/>
  <c r="A56" i="11"/>
  <c r="A55" i="11"/>
  <c r="A54" i="11"/>
  <c r="A53" i="11"/>
  <c r="I15" i="11"/>
  <c r="I16" i="11"/>
  <c r="A85" i="11"/>
  <c r="I17" i="11"/>
  <c r="S16" i="11"/>
  <c r="S15" i="11"/>
  <c r="S17" i="11"/>
  <c r="A84" i="11"/>
  <c r="I11" i="11"/>
  <c r="I12" i="11"/>
  <c r="I13" i="11"/>
  <c r="A64" i="11"/>
  <c r="A63" i="11"/>
  <c r="A62" i="11"/>
  <c r="A61" i="11"/>
  <c r="A60" i="11"/>
  <c r="A59" i="11"/>
  <c r="A58" i="11"/>
  <c r="I24" i="11"/>
  <c r="I25" i="11"/>
  <c r="I26" i="11"/>
  <c r="I27" i="11"/>
  <c r="S26" i="11"/>
  <c r="A88" i="11"/>
  <c r="I19" i="11"/>
  <c r="I20" i="11"/>
  <c r="I21" i="11"/>
  <c r="S20" i="11"/>
  <c r="I22" i="11"/>
  <c r="S22" i="11"/>
  <c r="A86" i="11"/>
  <c r="A72" i="11"/>
  <c r="A71" i="11"/>
  <c r="A70" i="11"/>
  <c r="A69" i="11"/>
  <c r="A68" i="11"/>
  <c r="A67" i="11"/>
  <c r="A66" i="11"/>
  <c r="A65" i="11"/>
  <c r="I29" i="11"/>
  <c r="I30" i="11"/>
  <c r="I31" i="11"/>
  <c r="A90" i="11"/>
  <c r="A76" i="11"/>
  <c r="A75" i="11"/>
  <c r="A74" i="11"/>
  <c r="A73" i="11"/>
  <c r="S11" i="11"/>
  <c r="AL31" i="20"/>
  <c r="AL28" i="20"/>
  <c r="AL25" i="20"/>
  <c r="AL22" i="20"/>
  <c r="AL19" i="20"/>
  <c r="L6" i="11"/>
  <c r="S28" i="11"/>
  <c r="G40" i="11"/>
  <c r="G38" i="11"/>
  <c r="G36" i="11"/>
  <c r="G34" i="11"/>
  <c r="R8" i="10"/>
  <c r="R23" i="10"/>
  <c r="R22" i="10"/>
  <c r="R20" i="10"/>
  <c r="R17" i="10"/>
  <c r="Q26" i="10"/>
  <c r="R26" i="10"/>
  <c r="R14" i="10"/>
  <c r="R19" i="10"/>
  <c r="T9" i="10"/>
  <c r="Q9" i="10"/>
  <c r="I4" i="2"/>
  <c r="I5" i="2"/>
  <c r="I6" i="2"/>
  <c r="I3" i="2"/>
  <c r="S19" i="11"/>
  <c r="S24" i="11"/>
  <c r="P31" i="11"/>
  <c r="P30" i="11"/>
  <c r="P29" i="11"/>
  <c r="P27" i="11"/>
  <c r="P26" i="11"/>
  <c r="P25" i="11"/>
  <c r="P24" i="11"/>
  <c r="P22" i="11"/>
  <c r="P21" i="11"/>
  <c r="P20" i="11"/>
  <c r="P19" i="11"/>
  <c r="P17" i="11"/>
  <c r="P16" i="11"/>
  <c r="P15" i="11"/>
  <c r="P13" i="11"/>
  <c r="P12" i="11"/>
  <c r="P11" i="11"/>
  <c r="P10" i="11"/>
  <c r="M31" i="11"/>
  <c r="M30" i="11"/>
  <c r="M29" i="11"/>
  <c r="M27" i="11"/>
  <c r="M26" i="11"/>
  <c r="M25" i="11"/>
  <c r="M24" i="11"/>
  <c r="M22" i="11"/>
  <c r="M21" i="11"/>
  <c r="M20" i="11"/>
  <c r="M19" i="11"/>
  <c r="M17" i="11"/>
  <c r="M16" i="11"/>
  <c r="M15" i="11"/>
  <c r="M13" i="11"/>
  <c r="M12" i="11"/>
  <c r="M11" i="11"/>
  <c r="M10" i="11"/>
  <c r="M8" i="11"/>
  <c r="J10" i="11"/>
  <c r="J31" i="11"/>
  <c r="J30" i="11"/>
  <c r="J29" i="11"/>
  <c r="J27" i="11"/>
  <c r="J26" i="11"/>
  <c r="J25" i="11"/>
  <c r="J24" i="11"/>
  <c r="J22" i="11"/>
  <c r="J21" i="11"/>
  <c r="J20" i="11"/>
  <c r="J19" i="11"/>
  <c r="J17" i="11"/>
  <c r="J16" i="11"/>
  <c r="J15" i="11"/>
  <c r="J13" i="11"/>
  <c r="J12" i="11"/>
  <c r="J11" i="11"/>
  <c r="G31" i="11"/>
  <c r="G30" i="11"/>
  <c r="G29" i="11"/>
  <c r="G27" i="11"/>
  <c r="G26" i="11"/>
  <c r="G25" i="11"/>
  <c r="G24" i="11"/>
  <c r="G22" i="11"/>
  <c r="G21" i="11"/>
  <c r="G20" i="11"/>
  <c r="G19" i="11"/>
  <c r="G17" i="11"/>
  <c r="G16" i="11"/>
  <c r="G15" i="11"/>
  <c r="G13" i="11"/>
  <c r="G12" i="11"/>
  <c r="G11" i="11"/>
  <c r="G10" i="11"/>
  <c r="P28" i="11"/>
  <c r="P23" i="11"/>
  <c r="P18" i="11"/>
  <c r="P14" i="11"/>
  <c r="M28" i="11"/>
  <c r="M23" i="11"/>
  <c r="M18" i="11"/>
  <c r="M14" i="11"/>
  <c r="J28" i="11"/>
  <c r="J23" i="11"/>
  <c r="J18" i="11"/>
  <c r="J14" i="11"/>
  <c r="G28" i="11"/>
  <c r="G23" i="11"/>
  <c r="G18" i="11"/>
  <c r="G14" i="11"/>
  <c r="G49" i="11"/>
  <c r="J10" i="2"/>
  <c r="A14" i="2" s="1"/>
  <c r="S29" i="11"/>
  <c r="S27" i="11"/>
  <c r="S25" i="11"/>
  <c r="S12" i="11"/>
  <c r="S13" i="11"/>
  <c r="S21" i="11"/>
  <c r="S30" i="11"/>
  <c r="S31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10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I14" i="11"/>
  <c r="I18" i="11"/>
  <c r="I28" i="11"/>
  <c r="I10" i="11"/>
  <c r="Q30" i="11"/>
  <c r="Q31" i="11"/>
  <c r="Q29" i="11"/>
  <c r="Q28" i="11"/>
  <c r="Q25" i="11"/>
  <c r="Q26" i="11"/>
  <c r="Q27" i="11"/>
  <c r="Q24" i="11"/>
  <c r="Q23" i="11"/>
  <c r="Q20" i="11"/>
  <c r="Q21" i="11"/>
  <c r="Q22" i="11"/>
  <c r="Q19" i="11"/>
  <c r="Q18" i="11"/>
  <c r="Q16" i="11"/>
  <c r="Q17" i="11"/>
  <c r="Q15" i="11"/>
  <c r="Q14" i="11"/>
  <c r="Q12" i="11"/>
  <c r="Q13" i="11"/>
  <c r="Q11" i="11"/>
  <c r="Q10" i="11"/>
  <c r="H10" i="11"/>
  <c r="N30" i="11"/>
  <c r="N31" i="11"/>
  <c r="N29" i="11"/>
  <c r="N28" i="11"/>
  <c r="N25" i="11"/>
  <c r="N26" i="11"/>
  <c r="N27" i="11"/>
  <c r="N24" i="11"/>
  <c r="N23" i="11"/>
  <c r="N20" i="11"/>
  <c r="N21" i="11"/>
  <c r="N22" i="11"/>
  <c r="N19" i="11"/>
  <c r="N18" i="11"/>
  <c r="N16" i="11"/>
  <c r="N17" i="11"/>
  <c r="N15" i="11"/>
  <c r="N14" i="11"/>
  <c r="N12" i="11"/>
  <c r="N13" i="11"/>
  <c r="N11" i="11"/>
  <c r="N10" i="11"/>
  <c r="K30" i="11"/>
  <c r="K31" i="11"/>
  <c r="K29" i="11"/>
  <c r="K28" i="11"/>
  <c r="K25" i="11"/>
  <c r="K26" i="11"/>
  <c r="K27" i="11"/>
  <c r="K24" i="11"/>
  <c r="K23" i="11"/>
  <c r="K20" i="11"/>
  <c r="K21" i="11"/>
  <c r="K22" i="11"/>
  <c r="K19" i="11"/>
  <c r="K18" i="11"/>
  <c r="K16" i="11"/>
  <c r="K17" i="11"/>
  <c r="K15" i="11"/>
  <c r="K14" i="11"/>
  <c r="K12" i="11"/>
  <c r="K13" i="11"/>
  <c r="K11" i="11"/>
  <c r="K10" i="11"/>
  <c r="H30" i="11"/>
  <c r="H31" i="11"/>
  <c r="H29" i="11"/>
  <c r="H28" i="11"/>
  <c r="H25" i="11"/>
  <c r="H26" i="11"/>
  <c r="H27" i="11"/>
  <c r="H24" i="11"/>
  <c r="H23" i="11"/>
  <c r="H20" i="11"/>
  <c r="H21" i="11"/>
  <c r="H22" i="11"/>
  <c r="H19" i="11"/>
  <c r="H18" i="11"/>
  <c r="H16" i="11"/>
  <c r="H17" i="11"/>
  <c r="H15" i="11"/>
  <c r="H14" i="11"/>
  <c r="H12" i="11"/>
  <c r="H13" i="11"/>
  <c r="H11" i="11"/>
  <c r="I29" i="2"/>
  <c r="G48" i="11"/>
  <c r="N11" i="4"/>
  <c r="N12" i="4"/>
  <c r="B17" i="3"/>
  <c r="F6" i="3"/>
  <c r="M14" i="4"/>
  <c r="J7" i="4"/>
  <c r="K8" i="10"/>
  <c r="A29" i="4"/>
  <c r="M24" i="2"/>
  <c r="A47" i="2"/>
  <c r="A50" i="20"/>
  <c r="K7" i="4"/>
  <c r="M13" i="4"/>
  <c r="K14" i="4"/>
  <c r="A33" i="4"/>
  <c r="K13" i="4"/>
  <c r="J14" i="4"/>
  <c r="M12" i="4"/>
  <c r="M15" i="4"/>
  <c r="M10" i="4"/>
  <c r="A49" i="2"/>
  <c r="K15" i="4"/>
  <c r="A27" i="4"/>
  <c r="I2" i="4"/>
  <c r="K8" i="4"/>
  <c r="K9" i="4"/>
  <c r="M11" i="4"/>
  <c r="Q6" i="11"/>
  <c r="G50" i="11"/>
  <c r="R6" i="11"/>
  <c r="K8" i="11"/>
  <c r="K9" i="11"/>
  <c r="K7" i="11"/>
  <c r="J16" i="8"/>
  <c r="AO14" i="20"/>
  <c r="AO9" i="20" s="1"/>
  <c r="K31" i="2"/>
  <c r="K20" i="2" s="1"/>
  <c r="A42" i="2"/>
  <c r="S23" i="11"/>
  <c r="M6" i="11"/>
  <c r="A43" i="2" l="1"/>
  <c r="L15" i="4"/>
  <c r="A26" i="4"/>
  <c r="J8" i="4"/>
  <c r="A58" i="20"/>
  <c r="L31" i="2"/>
  <c r="J4" i="8"/>
  <c r="L10" i="4"/>
  <c r="J15" i="4"/>
  <c r="L11" i="4"/>
  <c r="L9" i="4"/>
  <c r="A48" i="2"/>
  <c r="L20" i="2"/>
  <c r="J12" i="4"/>
  <c r="M21" i="2"/>
  <c r="U21" i="2" s="1"/>
  <c r="L25" i="2"/>
  <c r="A19" i="4"/>
  <c r="L13" i="4"/>
  <c r="L12" i="4"/>
  <c r="L26" i="2"/>
  <c r="T26" i="2" s="1"/>
  <c r="J9" i="4"/>
  <c r="L14" i="4"/>
  <c r="J13" i="4"/>
  <c r="AO7" i="20"/>
  <c r="AW7" i="20" s="1"/>
  <c r="AL14" i="20"/>
  <c r="AL13" i="20" s="1"/>
  <c r="L18" i="2"/>
  <c r="J10" i="4"/>
  <c r="M17" i="2"/>
  <c r="U17" i="2" s="1"/>
  <c r="M19" i="2"/>
  <c r="I12" i="4"/>
  <c r="A38" i="8"/>
  <c r="K21" i="2"/>
  <c r="S21" i="2" s="1"/>
  <c r="A70" i="2"/>
  <c r="K17" i="2"/>
  <c r="S17" i="2" s="1"/>
  <c r="K5" i="8"/>
  <c r="A27" i="8" s="1"/>
  <c r="T20" i="2"/>
  <c r="H14" i="8"/>
  <c r="H16" i="8"/>
  <c r="H9" i="8"/>
  <c r="J11" i="4"/>
  <c r="A59" i="20"/>
  <c r="AM14" i="20"/>
  <c r="AM8" i="20" s="1"/>
  <c r="AU8" i="20" s="1"/>
  <c r="L6" i="8"/>
  <c r="L15" i="8"/>
  <c r="L17" i="8"/>
  <c r="L11" i="8"/>
  <c r="L9" i="8"/>
  <c r="A61" i="20"/>
  <c r="A89" i="11"/>
  <c r="N6" i="11"/>
  <c r="O6" i="11" s="1"/>
  <c r="A93" i="11" s="1"/>
  <c r="S8" i="10"/>
  <c r="M20" i="2"/>
  <c r="M22" i="2"/>
  <c r="U22" i="2" s="1"/>
  <c r="A44" i="2"/>
  <c r="M25" i="2"/>
  <c r="U25" i="2" s="1"/>
  <c r="K22" i="2"/>
  <c r="S22" i="2" s="1"/>
  <c r="K19" i="2"/>
  <c r="S19" i="2" s="1"/>
  <c r="M6" i="8"/>
  <c r="M14" i="8"/>
  <c r="AL6" i="20"/>
  <c r="I15" i="4"/>
  <c r="H19" i="8"/>
  <c r="U19" i="2"/>
  <c r="U24" i="2"/>
  <c r="A89" i="2" s="1"/>
  <c r="I8" i="4"/>
  <c r="I10" i="4"/>
  <c r="T24" i="2"/>
  <c r="A88" i="2" s="1"/>
  <c r="T18" i="2"/>
  <c r="U20" i="2"/>
  <c r="A45" i="2"/>
  <c r="I23" i="2"/>
  <c r="I11" i="4"/>
  <c r="I14" i="4"/>
  <c r="I18" i="8"/>
  <c r="A37" i="8" s="1"/>
  <c r="AO12" i="20"/>
  <c r="AO6" i="20"/>
  <c r="AW6" i="20" s="1"/>
  <c r="AO13" i="20"/>
  <c r="AW13" i="20" s="1"/>
  <c r="AO11" i="20"/>
  <c r="AW11" i="20" s="1"/>
  <c r="AN14" i="20"/>
  <c r="AN7" i="20" s="1"/>
  <c r="AV7" i="20" s="1"/>
  <c r="A51" i="20"/>
  <c r="K11" i="4"/>
  <c r="A34" i="4"/>
  <c r="A4" i="3"/>
  <c r="K12" i="4"/>
  <c r="H8" i="8"/>
  <c r="J13" i="8"/>
  <c r="J11" i="8"/>
  <c r="H5" i="8"/>
  <c r="K10" i="4"/>
  <c r="A30" i="4" s="1"/>
  <c r="A91" i="11"/>
  <c r="A83" i="11"/>
  <c r="A56" i="20"/>
  <c r="A53" i="20"/>
  <c r="AL7" i="20"/>
  <c r="AL9" i="20"/>
  <c r="AL10" i="20"/>
  <c r="AW9" i="20"/>
  <c r="AW12" i="20"/>
  <c r="AL11" i="20"/>
  <c r="AL8" i="20"/>
  <c r="A71" i="2"/>
  <c r="J23" i="2"/>
  <c r="J26" i="2"/>
  <c r="R26" i="2" s="1"/>
  <c r="J24" i="2"/>
  <c r="R24" i="2" s="1"/>
  <c r="A86" i="2" s="1"/>
  <c r="A41" i="2"/>
  <c r="S25" i="2"/>
  <c r="I24" i="2"/>
  <c r="I26" i="2"/>
  <c r="T25" i="2"/>
  <c r="S24" i="2"/>
  <c r="A87" i="2" s="1"/>
  <c r="I25" i="2"/>
  <c r="I31" i="2"/>
  <c r="I17" i="2" s="1"/>
  <c r="U26" i="2"/>
  <c r="L13" i="8"/>
  <c r="L7" i="8"/>
  <c r="L14" i="8"/>
  <c r="L10" i="8"/>
  <c r="L12" i="8"/>
  <c r="L8" i="8"/>
  <c r="A25" i="8"/>
  <c r="L4" i="8"/>
  <c r="L16" i="8"/>
  <c r="L5" i="8"/>
  <c r="K18" i="2"/>
  <c r="S18" i="2" s="1"/>
  <c r="AO10" i="20"/>
  <c r="AW10" i="20" s="1"/>
  <c r="AL12" i="20"/>
  <c r="AO8" i="20"/>
  <c r="AW8" i="20" s="1"/>
  <c r="S20" i="2"/>
  <c r="H12" i="8"/>
  <c r="J8" i="8"/>
  <c r="J31" i="2"/>
  <c r="J17" i="2" s="1"/>
  <c r="R17" i="2" s="1"/>
  <c r="H7" i="8"/>
  <c r="J25" i="2"/>
  <c r="R25" i="2" s="1"/>
  <c r="A60" i="20"/>
  <c r="A55" i="20"/>
  <c r="AM13" i="20"/>
  <c r="AU13" i="20" s="1"/>
  <c r="A62" i="20"/>
  <c r="A72" i="2"/>
  <c r="K26" i="2"/>
  <c r="S26" i="2" s="1"/>
  <c r="H15" i="8"/>
  <c r="H13" i="8"/>
  <c r="H6" i="8"/>
  <c r="H10" i="8"/>
  <c r="H4" i="8"/>
  <c r="K7" i="8"/>
  <c r="A87" i="11"/>
  <c r="K23" i="2"/>
  <c r="M23" i="2"/>
  <c r="L23" i="2"/>
  <c r="A32" i="4"/>
  <c r="J15" i="8"/>
  <c r="J17" i="8"/>
  <c r="J9" i="8"/>
  <c r="J14" i="8"/>
  <c r="J5" i="8"/>
  <c r="J6" i="8"/>
  <c r="J10" i="8"/>
  <c r="J12" i="8"/>
  <c r="A78" i="2"/>
  <c r="H17" i="8"/>
  <c r="H11" i="8"/>
  <c r="AP14" i="20"/>
  <c r="AP8" i="20" s="1"/>
  <c r="AX8" i="20" s="1"/>
  <c r="A54" i="20"/>
  <c r="M18" i="2"/>
  <c r="U18" i="2" s="1"/>
  <c r="I9" i="4"/>
  <c r="I7" i="4"/>
  <c r="I13" i="4"/>
  <c r="A22" i="4"/>
  <c r="A25" i="4"/>
  <c r="A32" i="8"/>
  <c r="M16" i="8"/>
  <c r="M10" i="8"/>
  <c r="L21" i="2"/>
  <c r="T21" i="2" s="1"/>
  <c r="L17" i="2"/>
  <c r="T17" i="2" s="1"/>
  <c r="L19" i="2" l="1"/>
  <c r="T19" i="2" s="1"/>
  <c r="L22" i="2"/>
  <c r="T22" i="2" s="1"/>
  <c r="A83" i="2" s="1"/>
  <c r="M4" i="8"/>
  <c r="M12" i="8"/>
  <c r="M9" i="8"/>
  <c r="M8" i="8"/>
  <c r="M13" i="8"/>
  <c r="M17" i="8"/>
  <c r="M5" i="8"/>
  <c r="A23" i="8"/>
  <c r="M7" i="8"/>
  <c r="M11" i="8"/>
  <c r="M15" i="8"/>
  <c r="J20" i="2"/>
  <c r="R20" i="2" s="1"/>
  <c r="J22" i="2"/>
  <c r="R22" i="2" s="1"/>
  <c r="AM12" i="20"/>
  <c r="AU12" i="20" s="1"/>
  <c r="AM10" i="20"/>
  <c r="AU10" i="20" s="1"/>
  <c r="AM9" i="20"/>
  <c r="AU9" i="20" s="1"/>
  <c r="AM6" i="20"/>
  <c r="AU6" i="20" s="1"/>
  <c r="AM11" i="20"/>
  <c r="AU11" i="20" s="1"/>
  <c r="AM7" i="20"/>
  <c r="AU7" i="20" s="1"/>
  <c r="AN8" i="20"/>
  <c r="AV8" i="20" s="1"/>
  <c r="AN13" i="20"/>
  <c r="AV13" i="20" s="1"/>
  <c r="G47" i="11"/>
  <c r="A47" i="11" s="1"/>
  <c r="AP12" i="20"/>
  <c r="AX12" i="20" s="1"/>
  <c r="J19" i="2"/>
  <c r="R19" i="2" s="1"/>
  <c r="A82" i="2"/>
  <c r="R23" i="2"/>
  <c r="A85" i="2" s="1"/>
  <c r="AN12" i="20"/>
  <c r="AV12" i="20" s="1"/>
  <c r="I22" i="2"/>
  <c r="I21" i="2"/>
  <c r="I18" i="2"/>
  <c r="I19" i="2"/>
  <c r="I20" i="2"/>
  <c r="A67" i="20"/>
  <c r="AP11" i="20"/>
  <c r="AX11" i="20" s="1"/>
  <c r="AN6" i="20"/>
  <c r="AV6" i="20" s="1"/>
  <c r="I18" i="4"/>
  <c r="A18" i="4" s="1"/>
  <c r="A84" i="2"/>
  <c r="J18" i="2"/>
  <c r="R18" i="2" s="1"/>
  <c r="J21" i="2"/>
  <c r="R21" i="2" s="1"/>
  <c r="AN11" i="20"/>
  <c r="AV11" i="20" s="1"/>
  <c r="AN9" i="20"/>
  <c r="AV9" i="20" s="1"/>
  <c r="AP13" i="20"/>
  <c r="AX13" i="20" s="1"/>
  <c r="AP9" i="20"/>
  <c r="AX9" i="20" s="1"/>
  <c r="AP7" i="20"/>
  <c r="AX7" i="20" s="1"/>
  <c r="I5" i="8"/>
  <c r="I12" i="8"/>
  <c r="I8" i="8"/>
  <c r="I14" i="8"/>
  <c r="A31" i="8"/>
  <c r="I13" i="8"/>
  <c r="I17" i="8"/>
  <c r="I7" i="8"/>
  <c r="I15" i="8"/>
  <c r="I11" i="8"/>
  <c r="I6" i="8"/>
  <c r="I4" i="8"/>
  <c r="I10" i="8"/>
  <c r="I16" i="8"/>
  <c r="I9" i="8"/>
  <c r="AP6" i="20"/>
  <c r="AX6" i="20" s="1"/>
  <c r="AP10" i="20"/>
  <c r="AX10" i="20" s="1"/>
  <c r="AN10" i="20"/>
  <c r="AV10" i="20" s="1"/>
  <c r="H22" i="8" l="1"/>
  <c r="A22" i="8" s="1"/>
  <c r="A65" i="20"/>
  <c r="A81" i="2"/>
  <c r="I39" i="2" s="1"/>
  <c r="A39" i="2" s="1"/>
  <c r="A66" i="20"/>
  <c r="A68" i="20"/>
  <c r="AL48" i="20" l="1"/>
  <c r="A48" i="20" s="1"/>
  <c r="H39" i="3" l="1"/>
  <c r="A16" i="3" s="1"/>
</calcChain>
</file>

<file path=xl/comments1.xml><?xml version="1.0" encoding="utf-8"?>
<comments xmlns="http://schemas.openxmlformats.org/spreadsheetml/2006/main">
  <authors>
    <author>Автор</author>
  </authors>
  <commentList>
    <comment ref="B17" authorId="0">
      <text>
        <r>
          <rPr>
            <b/>
            <sz val="8"/>
            <color indexed="13"/>
            <rFont val="Tahoma"/>
            <family val="2"/>
            <charset val="204"/>
          </rPr>
          <t>Заполняется автоматически по дате открытия настоящего файла
(текущая дата).
Для отображения даты поставьте "галочку" возле надписи "Показывать дату заполнения", расположенную ниже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8"/>
            <color indexed="13"/>
            <rFont val="Arial"/>
            <family val="2"/>
            <charset val="204"/>
          </rPr>
          <t xml:space="preserve">Приказ издаётся один раз (!) -
после аттестации всех
имеющихся в организации
рабочих мест. От даты
данного приказа ведется
отчет начала очередной
аттестации (5 лет)
</t>
        </r>
        <r>
          <rPr>
            <i/>
            <sz val="8"/>
            <color indexed="13"/>
            <rFont val="Arial"/>
            <family val="2"/>
            <charset val="204"/>
          </rPr>
          <t>п.8 Порядка проведения
аттестации (2011 г.)</t>
        </r>
      </text>
    </comment>
    <comment ref="A28" authorId="0">
      <text>
        <r>
          <rPr>
            <sz val="8"/>
            <color indexed="13"/>
            <rFont val="Arial"/>
            <family val="2"/>
            <charset val="204"/>
          </rPr>
          <t>Приказ о проведении аттестации издаётся один с утверждением графика проведения работ по аттестациии и сроков их завершения. В последующем при необходимости в данный приказ могут вноситься другими приказами изменения и дополнения</t>
        </r>
      </text>
    </comment>
    <comment ref="A30" authorId="0">
      <text>
        <r>
          <rPr>
            <sz val="8"/>
            <color indexed="13"/>
            <rFont val="Arial"/>
            <family val="2"/>
            <charset val="204"/>
          </rPr>
          <t>Приказ о проведении повторной аттестации издаётся не позже 5 лет после утверждения результатов предыдущей аттестации (см. выше). Требования к нему такие же как приведены выше.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3" authorId="0">
      <text>
        <r>
          <rPr>
            <sz val="9"/>
            <color indexed="81"/>
            <rFont val="Arial"/>
            <family val="2"/>
            <charset val="204"/>
          </rPr>
          <t xml:space="preserve">средства Фонда социального страхования Российской Федерации
</t>
        </r>
      </text>
    </comment>
  </commentList>
</comments>
</file>

<file path=xl/sharedStrings.xml><?xml version="1.0" encoding="utf-8"?>
<sst xmlns="http://schemas.openxmlformats.org/spreadsheetml/2006/main" count="859" uniqueCount="593">
  <si>
    <t>ООО «Лаборатория «ЦСТ» (Оренбург)</t>
  </si>
  <si>
    <t>ООО «ИЛ «НЦОТ» (Волжский, Волгоградская обл.)</t>
  </si>
  <si>
    <t>ООО «НПП «Труд Эксперт» (Краснодар)</t>
  </si>
  <si>
    <t>ООО «Ставропольского края УпОТ» (Пятигорск)</t>
  </si>
  <si>
    <t>ООО «Ставропольский ЦСМ» (Ставрополь)</t>
  </si>
  <si>
    <t>ООО «ИЛ «Труд» (Волжский, Волгоградская обл.)</t>
  </si>
  <si>
    <t>ООО «СБТ» (Ставрополь)</t>
  </si>
  <si>
    <t>ООО «НЭП» (Кисловодск)</t>
  </si>
  <si>
    <t>ООО «ЦОТ СК» (Ставрополь)</t>
  </si>
  <si>
    <t>ООО ПЛЦ «Эксперт» (Ставрополь)</t>
  </si>
  <si>
    <t>АНО УЦ ДПО «Прогресс» (Ставрополь)</t>
  </si>
  <si>
    <t>ООО «Эксперт АРМ» (Пятигорск)</t>
  </si>
  <si>
    <t>ФБУ «Пятигорский ЦСМ» (Пятигорск)</t>
  </si>
  <si>
    <t>(адрес нахождения организации)</t>
  </si>
  <si>
    <t>Общий стаж работы в качестве специалиста по охране труда –</t>
  </si>
  <si>
    <t>обеспечены средствами индивидуальной защиты по нормам</t>
  </si>
  <si>
    <t>не обеспечены средствами индивидуальной защиты по нормам</t>
  </si>
  <si>
    <t>К проведению аттестации рабочих мест по условиям труда привлечены:</t>
  </si>
  <si>
    <t>17.6</t>
  </si>
  <si>
    <t>17.7</t>
  </si>
  <si>
    <t>18.1</t>
  </si>
  <si>
    <t>18.2</t>
  </si>
  <si>
    <t xml:space="preserve">       уполномоченные (доверенные) лица по охране труда профессиональных союзов;</t>
  </si>
  <si>
    <t>05.0</t>
  </si>
  <si>
    <r>
      <t>−</t>
    </r>
    <r>
      <rPr>
        <sz val="12"/>
        <color indexed="12"/>
        <rFont val="Arial Narrow"/>
        <family val="2"/>
        <charset val="204"/>
      </rPr>
      <t xml:space="preserve"> количество работников, получающих средства индивидуальной защиты, </t>
    </r>
    <r>
      <rPr>
        <i/>
        <sz val="12"/>
        <color indexed="12"/>
        <rFont val="Arial Narrow"/>
        <family val="2"/>
        <charset val="204"/>
      </rPr>
      <t>чел.</t>
    </r>
  </si>
  <si>
    <t>дополнительно
по локальным актам организации</t>
  </si>
  <si>
    <r>
      <rPr>
        <b/>
        <sz val="18"/>
        <color indexed="8"/>
        <rFont val="Arial"/>
        <family val="2"/>
        <charset val="204"/>
      </rPr>
      <t>ЭКСПЕРТНЫЙ ОПРОС</t>
    </r>
    <r>
      <rPr>
        <sz val="18"/>
        <color indexed="8"/>
        <rFont val="Arial"/>
        <family val="2"/>
        <charset val="204"/>
      </rPr>
      <t xml:space="preserve">
об условиях и охране труда в организации</t>
    </r>
    <r>
      <rPr>
        <vertAlign val="superscript"/>
        <sz val="14"/>
        <color indexed="8"/>
        <rFont val="Arial"/>
        <family val="2"/>
        <charset val="204"/>
      </rPr>
      <t xml:space="preserve">1
</t>
    </r>
  </si>
  <si>
    <t>Химический фактор</t>
  </si>
  <si>
    <t>Аэрозоли преимущественно фиброгенного действия</t>
  </si>
  <si>
    <t>Шум</t>
  </si>
  <si>
    <t>Инфразвук</t>
  </si>
  <si>
    <t>Ультразвук воздушный</t>
  </si>
  <si>
    <t>Вибрация общая</t>
  </si>
  <si>
    <t>Вибрация локальная</t>
  </si>
  <si>
    <t>Неионизирующие излучения</t>
  </si>
  <si>
    <t>Ионизирующие излучения</t>
  </si>
  <si>
    <t>Световая среда</t>
  </si>
  <si>
    <t>Тяжесть труда</t>
  </si>
  <si>
    <t>Напряженность труда</t>
  </si>
  <si>
    <t>Количество рабочих мест с данным фактором</t>
  </si>
  <si>
    <t>16.0</t>
  </si>
  <si>
    <t>–</t>
  </si>
  <si>
    <t>15.6</t>
  </si>
  <si>
    <t>15.7</t>
  </si>
  <si>
    <t>15.8</t>
  </si>
  <si>
    <t>Сокращённый рабочий день</t>
  </si>
  <si>
    <t>Дополнительный отпуск</t>
  </si>
  <si>
    <t>Оплата труда в повышенном размере</t>
  </si>
  <si>
    <t>Выдача молока или других равноценных пищевых продуктов</t>
  </si>
  <si>
    <t>Компенсация в размере стоимости молока или других равноценных пищевых продуктов</t>
  </si>
  <si>
    <t>Выдача лечебно-профилактического питания</t>
  </si>
  <si>
    <t>26.1</t>
  </si>
  <si>
    <t>20.2</t>
  </si>
  <si>
    <t>01.5</t>
  </si>
  <si>
    <t>02.0</t>
  </si>
  <si>
    <t>ООО Производственно-лабораторный центр «Эксперт» (Ставрополь)</t>
  </si>
  <si>
    <t>10.1</t>
  </si>
  <si>
    <t>15.9</t>
  </si>
  <si>
    <t>20.3</t>
  </si>
  <si>
    <t>20.4</t>
  </si>
  <si>
    <t>20.5</t>
  </si>
  <si>
    <t>17.1</t>
  </si>
  <si>
    <t>17.2</t>
  </si>
  <si>
    <t>АНО «Учебный центр дополнительного профессионального образования «Прогресс» (Ставрополь)</t>
  </si>
  <si>
    <t xml:space="preserve">       члены аттестационной комиссии по условиям труда</t>
  </si>
  <si>
    <t>21.2</t>
  </si>
  <si>
    <r>
      <rPr>
        <vertAlign val="superscript"/>
        <sz val="8"/>
        <color indexed="8"/>
        <rFont val="Arial Narrow"/>
        <family val="2"/>
        <charset val="204"/>
      </rPr>
      <t>1</t>
    </r>
    <r>
      <rPr>
        <sz val="8"/>
        <color indexed="8"/>
        <rFont val="Arial Narrow"/>
        <family val="2"/>
        <charset val="204"/>
      </rPr>
      <t xml:space="preserve"> Опрос осуществляется на основании положений подпункта 17 пункта 1 Закона Ставропольского края от 11.12.2009 №92-кз.
Статьей 19.7 КоАП РФ предусмотрена ответственность за непредставление или несвоевременное представление в государственный орган (должностному лицу) сведений (информации), представление которых предусмотрено законом и необходимо для осуществления этим органом (должностным лицом) его законной деятельности, а равно представление в государственный орган (должностному лицу) таких сведений (информации) в неполном объеме или в искаженном виде.</t>
    </r>
  </si>
  <si>
    <r>
      <t xml:space="preserve">Затраты
на компенсации, </t>
    </r>
    <r>
      <rPr>
        <i/>
        <sz val="12"/>
        <color indexed="8"/>
        <rFont val="Arial Narrow"/>
        <family val="2"/>
        <charset val="204"/>
      </rPr>
      <t>руб.</t>
    </r>
  </si>
  <si>
    <t>ООО «Испытательная лаборатория «Нижневолжский центр охраны труда» (Волжский, Волгоградская обл.)</t>
  </si>
  <si>
    <t>ООО «Научно-производственное предприятие «Труд Эксперт» (Краснодар)</t>
  </si>
  <si>
    <t>ООО «Северо-Кавказское управление по охране труда» (Пятигорск)</t>
  </si>
  <si>
    <t>ООО «Эксперт-Сервис» (Курганинск, Краснодарский край)</t>
  </si>
  <si>
    <t>ООО «Испытательная лаборатория «Труд» (Волжский, Волгоградская обл.)</t>
  </si>
  <si>
    <t>ООО «Системы безопасности труда» (Ставрополь)</t>
  </si>
  <si>
    <t>ООО «Независимый Эксперт Плюс» (Кисловодск)</t>
  </si>
  <si>
    <r>
      <t xml:space="preserve">Досрочное назначение пенсии по старости
</t>
    </r>
    <r>
      <rPr>
        <i/>
        <sz val="11"/>
        <color indexed="8"/>
        <rFont val="Tahoma"/>
        <family val="2"/>
        <charset val="204"/>
      </rPr>
      <t>по Списку №2</t>
    </r>
  </si>
  <si>
    <r>
      <t xml:space="preserve">Досрочное назначение пенсии по старости
</t>
    </r>
    <r>
      <rPr>
        <i/>
        <sz val="11"/>
        <color indexed="8"/>
        <rFont val="Tahoma"/>
        <family val="2"/>
        <charset val="204"/>
      </rPr>
      <t>по Списку №1</t>
    </r>
  </si>
  <si>
    <r>
      <t xml:space="preserve">Досрочное назначение пенсии по старости
</t>
    </r>
    <r>
      <rPr>
        <i/>
        <sz val="11"/>
        <color indexed="8"/>
        <rFont val="Tahoma"/>
        <family val="2"/>
        <charset val="204"/>
      </rPr>
      <t>по корпоративным спискам (за условия труда)</t>
    </r>
  </si>
  <si>
    <t>17.3</t>
  </si>
  <si>
    <t>17.4</t>
  </si>
  <si>
    <t>17.5</t>
  </si>
  <si>
    <t>18.3</t>
  </si>
  <si>
    <t>19.1</t>
  </si>
  <si>
    <t>19.2</t>
  </si>
  <si>
    <t>19.3</t>
  </si>
  <si>
    <t>20.1</t>
  </si>
  <si>
    <t>15.2</t>
  </si>
  <si>
    <t>15.5</t>
  </si>
  <si>
    <t>приказ руководителя</t>
  </si>
  <si>
    <t>21.1</t>
  </si>
  <si>
    <t>22.1</t>
  </si>
  <si>
    <t>01.1</t>
  </si>
  <si>
    <t>22.2</t>
  </si>
  <si>
    <t>01.3</t>
  </si>
  <si>
    <t>01.4</t>
  </si>
  <si>
    <t>15.3</t>
  </si>
  <si>
    <t>15.4</t>
  </si>
  <si>
    <t>01.2</t>
  </si>
  <si>
    <t>22.3</t>
  </si>
  <si>
    <t>23.1</t>
  </si>
  <si>
    <t>23.2</t>
  </si>
  <si>
    <t>23.3</t>
  </si>
  <si>
    <t>24.1</t>
  </si>
  <si>
    <t/>
  </si>
  <si>
    <t>1.</t>
  </si>
  <si>
    <t>2.</t>
  </si>
  <si>
    <t>3.</t>
  </si>
  <si>
    <t>4.</t>
  </si>
  <si>
    <t>Результаты аттестации рабочих мест по условиям труда утверждены</t>
  </si>
  <si>
    <r>
      <rPr>
        <vertAlign val="superscript"/>
        <sz val="8"/>
        <color indexed="8"/>
        <rFont val="Arial Narrow"/>
        <family val="2"/>
        <charset val="204"/>
      </rPr>
      <t>2</t>
    </r>
    <r>
      <rPr>
        <sz val="8"/>
        <color indexed="8"/>
        <rFont val="Arial Narrow"/>
        <family val="2"/>
        <charset val="204"/>
      </rPr>
      <t xml:space="preserve"> Основным видом экономической деятельности является тот вид экономической деятельности, который создает наибольшую часть валовой добавленной стоимости. Необязательно, чтобы основной вид экономической деятельности составлял 50% или более валовой добавленной стоимости.</t>
    </r>
  </si>
  <si>
    <t>Микроклимат</t>
  </si>
  <si>
    <t>Биологический фактор</t>
  </si>
  <si>
    <t>ВСЕГО</t>
  </si>
  <si>
    <t>по трудовому  законодательству</t>
  </si>
  <si>
    <t>Деятельность гостиниц и ресторанов</t>
  </si>
  <si>
    <t>Добыча полезных ископаемых, кроме топливно-энергетических</t>
  </si>
  <si>
    <t>Добыча топливно-энергетических полезных ископаемых</t>
  </si>
  <si>
    <t>Издательская и полиграфическая деятельность</t>
  </si>
  <si>
    <t>Обработка древесины и производство изделий из древесины</t>
  </si>
  <si>
    <t>Образование</t>
  </si>
  <si>
    <t>Операции с недвижимым имуществом, аренда и предоставление услуг</t>
  </si>
  <si>
    <t>Оптовая и розничная торговля</t>
  </si>
  <si>
    <t>ВСЕГО РАБОЧИХ МЕСТ в организации</t>
  </si>
  <si>
    <t>КОЛИЧЕСТВО занятых на них ЧЕЛОВЕК,</t>
  </si>
  <si>
    <t>в том числе:</t>
  </si>
  <si>
    <t>лиц моложе 18 лет</t>
  </si>
  <si>
    <t>Производственный фактор,
оказывающий вредное воздействие
на здоровье работника</t>
  </si>
  <si>
    <r>
      <rPr>
        <b/>
        <sz val="11"/>
        <color indexed="8"/>
        <rFont val="Arial"/>
        <family val="2"/>
        <charset val="204"/>
      </rPr>
      <t>ВСЕГО</t>
    </r>
    <r>
      <rPr>
        <sz val="11"/>
        <color indexed="8"/>
        <rFont val="Arial Narrow"/>
        <family val="2"/>
        <charset val="204"/>
      </rPr>
      <t xml:space="preserve">,
</t>
    </r>
    <r>
      <rPr>
        <i/>
        <sz val="11"/>
        <color indexed="8"/>
        <rFont val="Arial Narrow"/>
        <family val="2"/>
        <charset val="204"/>
      </rPr>
      <t>из них</t>
    </r>
    <r>
      <rPr>
        <sz val="11"/>
        <color indexed="8"/>
        <rFont val="Arial Narrow"/>
        <family val="2"/>
        <charset val="204"/>
      </rPr>
      <t>:</t>
    </r>
  </si>
  <si>
    <r>
      <t>ВНИМАНИЕ! После того как заполните все листы этой книги (файла), убедитесь в отсутствии ячеек с красным фоном! Наличие красного фона в ячейке указывает на ошибку в введенных в нее данных. При этом ошибка в ячейке может быть связана не только с данными, введенными на этом же листе, но и с данными введенными на других листах данной книги.</t>
    </r>
    <r>
      <rPr>
        <sz val="10"/>
        <color indexed="10"/>
        <rFont val="Arial"/>
        <family val="2"/>
        <charset val="204"/>
      </rPr>
      <t/>
    </r>
  </si>
  <si>
    <t>Производство готовых металлических изделий</t>
  </si>
  <si>
    <t>Производство и распределение электроэнергии, газа и воды</t>
  </si>
  <si>
    <t>Производство кожи, изделий из кожи, производство обуви</t>
  </si>
  <si>
    <t>Производство машин и оборудования</t>
  </si>
  <si>
    <t>ЗАО «Монокристалл» (Ставрополь)</t>
  </si>
  <si>
    <t>14.3</t>
  </si>
  <si>
    <t>14.4</t>
  </si>
  <si>
    <t>14.5</t>
  </si>
  <si>
    <t>15.1</t>
  </si>
  <si>
    <t>Должность согласно штатному расписанию:</t>
  </si>
  <si>
    <t>лет</t>
  </si>
  <si>
    <t>Обучение по охране труда прошел по</t>
  </si>
  <si>
    <t>код</t>
  </si>
  <si>
    <t>Производство пищевых продуктов, включая напитков и табака</t>
  </si>
  <si>
    <t>Производство прочих неметаллических минеральных продуктов</t>
  </si>
  <si>
    <t>Производство резиновых и пластмассовых изделий</t>
  </si>
  <si>
    <t>Производство транспортных средств и оборудования</t>
  </si>
  <si>
    <t>Производство электрооборудования, электронного и оптического оборудования</t>
  </si>
  <si>
    <t>ООО «Северо-Кавказское управление по охране труда» (Мин.Воды)</t>
  </si>
  <si>
    <t>ООО «Лаборатория «Центра социальных технологий» (Оренбург)</t>
  </si>
  <si>
    <t>ООО «Ставропольский фонд санэпидблагополучия» (Ставрополь)</t>
  </si>
  <si>
    <t>ООО «Ставропольский центр сертификации и менеджмента» (Ставрополь)</t>
  </si>
  <si>
    <t>10.2</t>
  </si>
  <si>
    <t>10.3</t>
  </si>
  <si>
    <t>11.1</t>
  </si>
  <si>
    <t>24.2</t>
  </si>
  <si>
    <t>24.3</t>
  </si>
  <si>
    <t>24.4</t>
  </si>
  <si>
    <t>24.5</t>
  </si>
  <si>
    <t>24.6</t>
  </si>
  <si>
    <t>Наличие оборудованного кабинета по охране труда:</t>
  </si>
  <si>
    <t>Ремонт бытовых изделий и предметов личного пользования</t>
  </si>
  <si>
    <t>Связь</t>
  </si>
  <si>
    <t>Строительство</t>
  </si>
  <si>
    <t>Текстильное и швейное производство</t>
  </si>
  <si>
    <t>Транспорт</t>
  </si>
  <si>
    <t>Финансовая деятельность</t>
  </si>
  <si>
    <t>25.1</t>
  </si>
  <si>
    <t>25.2</t>
  </si>
  <si>
    <t>Работодатель</t>
  </si>
  <si>
    <t>(Фамилия, Имя, Отчество полностью)</t>
  </si>
  <si>
    <t>Функции службы охраны труда осуществляет:</t>
  </si>
  <si>
    <t>Образование:</t>
  </si>
  <si>
    <t>11.2</t>
  </si>
  <si>
    <t>12.0</t>
  </si>
  <si>
    <t>14.1</t>
  </si>
  <si>
    <t>14.2</t>
  </si>
  <si>
    <t>50.1</t>
  </si>
  <si>
    <t>50.3</t>
  </si>
  <si>
    <t>50.4</t>
  </si>
  <si>
    <t>50.5</t>
  </si>
  <si>
    <t>51.1</t>
  </si>
  <si>
    <t>51.2</t>
  </si>
  <si>
    <t>51.3</t>
  </si>
  <si>
    <t>51.4</t>
  </si>
  <si>
    <t>51.5</t>
  </si>
  <si>
    <t>51.6</t>
  </si>
  <si>
    <t>51.7</t>
  </si>
  <si>
    <t>51.8</t>
  </si>
  <si>
    <t>51.9</t>
  </si>
  <si>
    <t>52.1</t>
  </si>
  <si>
    <t>52.2</t>
  </si>
  <si>
    <t>52.3</t>
  </si>
  <si>
    <t>52.4</t>
  </si>
  <si>
    <t>52.5</t>
  </si>
  <si>
    <t>52.6</t>
  </si>
  <si>
    <t>Техническое обслуживание и ремонт автотранспортных средств, мотоциклов</t>
  </si>
  <si>
    <t>26.7</t>
  </si>
  <si>
    <t>26.8</t>
  </si>
  <si>
    <t>(основной вид экономической деятельности организации)</t>
  </si>
  <si>
    <r>
      <t>ВНИМАНИЕ! После того как заполните все листы этой книги (файла), убедитесь в отсутствии ячеек с красным фоном! Наличие красного фона в ячейке указывает на недопустимое значение введенных данных. При этом ошибка в ячейке может быть связана не только с данными, введенными на этом же листе, но и с данными введенными на других листах данной книги.</t>
    </r>
    <r>
      <rPr>
        <sz val="10"/>
        <color indexed="10"/>
        <rFont val="Arial"/>
        <family val="2"/>
        <charset val="204"/>
      </rPr>
      <t/>
    </r>
  </si>
  <si>
    <t>Химическое производство</t>
  </si>
  <si>
    <t>Целлюлозно-бумажное производство</t>
  </si>
  <si>
    <t>приказом</t>
  </si>
  <si>
    <t>от</t>
  </si>
  <si>
    <t>№</t>
  </si>
  <si>
    <t>распоряжением</t>
  </si>
  <si>
    <t>.</t>
  </si>
  <si>
    <t>Характеристика условий труда</t>
  </si>
  <si>
    <t>Класс</t>
  </si>
  <si>
    <t>Количество рабочих мест</t>
  </si>
  <si>
    <t>Число работников,
занятых на данных рабочих местах</t>
  </si>
  <si>
    <r>
      <rPr>
        <b/>
        <sz val="12"/>
        <rFont val="Arial"/>
        <family val="2"/>
        <charset val="204"/>
      </rPr>
      <t>ВСЕГО</t>
    </r>
    <r>
      <rPr>
        <sz val="12"/>
        <rFont val="Arial Narrow"/>
        <family val="2"/>
        <charset val="204"/>
      </rPr>
      <t xml:space="preserve">,
</t>
    </r>
    <r>
      <rPr>
        <i/>
        <sz val="12"/>
        <rFont val="Arial Narrow"/>
        <family val="2"/>
        <charset val="204"/>
      </rPr>
      <t>из них:</t>
    </r>
  </si>
  <si>
    <t>женщин</t>
  </si>
  <si>
    <t>лиц моложе
18 лет</t>
  </si>
  <si>
    <t>инвалидов</t>
  </si>
  <si>
    <t>оптимальные и допустимые</t>
  </si>
  <si>
    <t>1;2</t>
  </si>
  <si>
    <t>вредные</t>
  </si>
  <si>
    <t>3.1</t>
  </si>
  <si>
    <t>3.2</t>
  </si>
  <si>
    <t>3.3</t>
  </si>
  <si>
    <t>3.4</t>
  </si>
  <si>
    <t>опасные</t>
  </si>
  <si>
    <t>травмоопасные</t>
  </si>
  <si>
    <t>Дата заполнения:</t>
  </si>
  <si>
    <t>Форма заполнена:</t>
  </si>
  <si>
    <t>ООО «Карьера» (Краснодар)</t>
  </si>
  <si>
    <t>ООО «Фортуна» (Ставрополь)</t>
  </si>
  <si>
    <t>ООО «Югополис-АРМ» (Краснодар)</t>
  </si>
  <si>
    <t>ООО «Эйч-ЭС-Эй Аттестация» (Москва)</t>
  </si>
  <si>
    <t>24.7</t>
  </si>
  <si>
    <t>13.1</t>
  </si>
  <si>
    <t>13.2</t>
  </si>
  <si>
    <t>ЗАТРАТЫ
на проведение мероприятий по улучшению условий и охраны труда
и снижению уровней профессиональных рисков</t>
  </si>
  <si>
    <t>чел.</t>
  </si>
  <si>
    <t>Наименование мероприятия по охране труда</t>
  </si>
  <si>
    <t>руб.</t>
  </si>
  <si>
    <t>Затраты</t>
  </si>
  <si>
    <t>ИНФОРМАЦИЯ
о прохождении обучения по охране труда и
проверки знания требований охраны труда</t>
  </si>
  <si>
    <t>Ветеринарная деятельность</t>
  </si>
  <si>
    <t>Деятельность в области здравоохранения</t>
  </si>
  <si>
    <t>Предоставление социальных услуг</t>
  </si>
  <si>
    <r>
      <t>Удостоверение о проверке знаний по охране труда выдано</t>
    </r>
    <r>
      <rPr>
        <vertAlign val="superscript"/>
        <sz val="10"/>
        <rFont val="Times New Roman"/>
        <family val="1"/>
        <charset val="204"/>
      </rPr>
      <t>*</t>
    </r>
  </si>
  <si>
    <r>
      <t>часовой программе</t>
    </r>
    <r>
      <rPr>
        <vertAlign val="superscript"/>
        <sz val="10"/>
        <rFont val="Times New Roman"/>
        <family val="1"/>
        <charset val="204"/>
      </rPr>
      <t>*</t>
    </r>
  </si>
  <si>
    <t>26.2</t>
  </si>
  <si>
    <t>50.2</t>
  </si>
  <si>
    <t>52.7</t>
  </si>
  <si>
    <t>75.1</t>
  </si>
  <si>
    <t>75.2</t>
  </si>
  <si>
    <t>75.3</t>
  </si>
  <si>
    <t>55.1</t>
  </si>
  <si>
    <t>55.2</t>
  </si>
  <si>
    <t>55.3</t>
  </si>
  <si>
    <t>55.4</t>
  </si>
  <si>
    <t>55.5</t>
  </si>
  <si>
    <t>60.1</t>
  </si>
  <si>
    <t>60.2</t>
  </si>
  <si>
    <t>60.3</t>
  </si>
  <si>
    <t>61.1</t>
  </si>
  <si>
    <t>61.2</t>
  </si>
  <si>
    <t>62.1</t>
  </si>
  <si>
    <t>62.3</t>
  </si>
  <si>
    <t>63.1</t>
  </si>
  <si>
    <t>63.2</t>
  </si>
  <si>
    <t>63.3</t>
  </si>
  <si>
    <t>63.4</t>
  </si>
  <si>
    <t>62.2</t>
  </si>
  <si>
    <t>64.1</t>
  </si>
  <si>
    <t>64.2</t>
  </si>
  <si>
    <t>65.1</t>
  </si>
  <si>
    <t>65.2</t>
  </si>
  <si>
    <t>66.0</t>
  </si>
  <si>
    <t>67.2</t>
  </si>
  <si>
    <t>67.1</t>
  </si>
  <si>
    <t>70.1</t>
  </si>
  <si>
    <t>70.2</t>
  </si>
  <si>
    <t>70.3</t>
  </si>
  <si>
    <t>71.1</t>
  </si>
  <si>
    <t>71.2</t>
  </si>
  <si>
    <t>71.3</t>
  </si>
  <si>
    <t>71.4</t>
  </si>
  <si>
    <t>72.1</t>
  </si>
  <si>
    <t>72.2</t>
  </si>
  <si>
    <t>72.3</t>
  </si>
  <si>
    <t>72.4</t>
  </si>
  <si>
    <t>72.5</t>
  </si>
  <si>
    <t>72.6</t>
  </si>
  <si>
    <t>73.1</t>
  </si>
  <si>
    <t>73.2</t>
  </si>
  <si>
    <t>74.1</t>
  </si>
  <si>
    <t>74.2</t>
  </si>
  <si>
    <t>74.3</t>
  </si>
  <si>
    <t>74.4</t>
  </si>
  <si>
    <t>74.5</t>
  </si>
  <si>
    <t>74.6</t>
  </si>
  <si>
    <t>74.7</t>
  </si>
  <si>
    <t>74.8</t>
  </si>
  <si>
    <t>80.1</t>
  </si>
  <si>
    <t>80.2</t>
  </si>
  <si>
    <t>80.3</t>
  </si>
  <si>
    <t>80.4</t>
  </si>
  <si>
    <t>85.1</t>
  </si>
  <si>
    <t>85.2</t>
  </si>
  <si>
    <t>85.3</t>
  </si>
  <si>
    <t>90.0</t>
  </si>
  <si>
    <t>91.1</t>
  </si>
  <si>
    <t>91.2</t>
  </si>
  <si>
    <t>91.3</t>
  </si>
  <si>
    <t>92.1</t>
  </si>
  <si>
    <t>92.2</t>
  </si>
  <si>
    <t>92.3</t>
  </si>
  <si>
    <t>92.4</t>
  </si>
  <si>
    <t>92.5</t>
  </si>
  <si>
    <t>92.6</t>
  </si>
  <si>
    <t>92.7</t>
  </si>
  <si>
    <t>93.0</t>
  </si>
  <si>
    <t>95.0</t>
  </si>
  <si>
    <t>96.0</t>
  </si>
  <si>
    <t>97.0</t>
  </si>
  <si>
    <t>99.0</t>
  </si>
  <si>
    <t>Государственное управление и обеспечение военной безопасности</t>
  </si>
  <si>
    <t>Сбор сточных вод, отходов и аналогичная деятельность</t>
  </si>
  <si>
    <t>Деятельность общественных объединений</t>
  </si>
  <si>
    <t>Деятельность по организации отдыха и развлечений, показом фильмов</t>
  </si>
  <si>
    <t>Сельское хозяйство</t>
  </si>
  <si>
    <t>Прочая деятельность</t>
  </si>
  <si>
    <t>26.3</t>
  </si>
  <si>
    <t>26.4</t>
  </si>
  <si>
    <t>26.5</t>
  </si>
  <si>
    <t>26.6</t>
  </si>
  <si>
    <t>27.1</t>
  </si>
  <si>
    <t>27.2</t>
  </si>
  <si>
    <t>27.3</t>
  </si>
  <si>
    <t>27.4</t>
  </si>
  <si>
    <t>27.5</t>
  </si>
  <si>
    <t>28.1</t>
  </si>
  <si>
    <t>28.2</t>
  </si>
  <si>
    <t>28.3</t>
  </si>
  <si>
    <t>28.4</t>
  </si>
  <si>
    <t>28.5</t>
  </si>
  <si>
    <t>28.6</t>
  </si>
  <si>
    <t>28.7</t>
  </si>
  <si>
    <t>29.1</t>
  </si>
  <si>
    <t>29.2</t>
  </si>
  <si>
    <t>29.3</t>
  </si>
  <si>
    <t>29.4</t>
  </si>
  <si>
    <t>29.5</t>
  </si>
  <si>
    <t>29.6</t>
  </si>
  <si>
    <t>29.7</t>
  </si>
  <si>
    <t>30.0</t>
  </si>
  <si>
    <t>31.1</t>
  </si>
  <si>
    <t>31.2</t>
  </si>
  <si>
    <t>31.3</t>
  </si>
  <si>
    <t>31.4</t>
  </si>
  <si>
    <t>31.5</t>
  </si>
  <si>
    <t>31.6</t>
  </si>
  <si>
    <t>32.1</t>
  </si>
  <si>
    <t>32.2</t>
  </si>
  <si>
    <t>32.3</t>
  </si>
  <si>
    <t>33.1</t>
  </si>
  <si>
    <t>33.2</t>
  </si>
  <si>
    <t>33.3</t>
  </si>
  <si>
    <t>33.4</t>
  </si>
  <si>
    <t>33.5</t>
  </si>
  <si>
    <t>34.1</t>
  </si>
  <si>
    <t>34.2</t>
  </si>
  <si>
    <t>34.3</t>
  </si>
  <si>
    <t>35.1</t>
  </si>
  <si>
    <t>35.2</t>
  </si>
  <si>
    <t>35.3</t>
  </si>
  <si>
    <t>35.4</t>
  </si>
  <si>
    <t>35.5</t>
  </si>
  <si>
    <t>36.1</t>
  </si>
  <si>
    <t>36.2</t>
  </si>
  <si>
    <t>36.3</t>
  </si>
  <si>
    <t>36.4</t>
  </si>
  <si>
    <t>36.5</t>
  </si>
  <si>
    <t>36.6</t>
  </si>
  <si>
    <t>37.1</t>
  </si>
  <si>
    <t>37.2</t>
  </si>
  <si>
    <t>40.1</t>
  </si>
  <si>
    <t>40.2</t>
  </si>
  <si>
    <t>40.3</t>
  </si>
  <si>
    <t>41.0</t>
  </si>
  <si>
    <t>45.1</t>
  </si>
  <si>
    <t>45.2</t>
  </si>
  <si>
    <t>45.3</t>
  </si>
  <si>
    <t>45.4</t>
  </si>
  <si>
    <t>45.5</t>
  </si>
  <si>
    <t>ООО «Центр охраны труда Ставропольского края» (Ставрополь/Светлоград)</t>
  </si>
  <si>
    <t>ОБЩИЕ СВЕДЕНИЯ</t>
  </si>
  <si>
    <t>Численность службы охраны труда:</t>
  </si>
  <si>
    <t xml:space="preserve">Управление охраной труда в организации
</t>
  </si>
  <si>
    <t>да/нет</t>
  </si>
  <si>
    <t>версия</t>
  </si>
  <si>
    <t>Специальность по диплому:</t>
  </si>
  <si>
    <t>(полное наименование организации согласно учредительному документу - допускается сокращение ООО, ОАО, ЗАО, ГУП, МУП)</t>
  </si>
  <si>
    <t>Работодатель и отдельные работники прошли обучение по охране труда и проверку знания требований охраны труда в следующей(-их) аккредитованной(-ых) обучающей(-их) организации(-ях):</t>
  </si>
  <si>
    <t>не требуется обеспечение средствами индивидуальной защиты по нормам</t>
  </si>
  <si>
    <r>
      <t>Основанием для:
         –</t>
    </r>
    <r>
      <rPr>
        <sz val="17.5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>проведения аттестации рабочих мест по условиям труда является</t>
    </r>
  </si>
  <si>
    <t xml:space="preserve">         – проведения повторной аттестации рабочих мест по условиям труда является</t>
  </si>
  <si>
    <t>(наименование
аттестующей организации)</t>
  </si>
  <si>
    <t>КОНЕЦ СПИСКА ОШИБОК</t>
  </si>
  <si>
    <t>Заполняется также о работодателе в случае осуществления им функций службы охраны труда</t>
  </si>
  <si>
    <t>*</t>
  </si>
  <si>
    <t>(код ОКВЭД)</t>
  </si>
  <si>
    <t>Контактные данные исполнителя функции службы охраны труда:</t>
  </si>
  <si>
    <t>ВСЕГО
в организации</t>
  </si>
  <si>
    <t>первичные и очередные</t>
  </si>
  <si>
    <r>
      <t>Заместители руководителя организации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, </t>
    </r>
    <r>
      <rPr>
        <i/>
        <sz val="12"/>
        <color indexed="8"/>
        <rFont val="Times New Roman"/>
        <family val="1"/>
        <charset val="204"/>
      </rPr>
      <t>из них</t>
    </r>
    <r>
      <rPr>
        <sz val="12"/>
        <color indexed="8"/>
        <rFont val="Times New Roman"/>
        <family val="1"/>
        <charset val="204"/>
      </rPr>
      <t>:</t>
    </r>
  </si>
  <si>
    <r>
      <t>Руководители структурных подразделений, главные специалисты</t>
    </r>
    <r>
      <rPr>
        <vertAlign val="super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 xml:space="preserve"> и их заместители, </t>
    </r>
    <r>
      <rPr>
        <i/>
        <sz val="12"/>
        <color indexed="8"/>
        <rFont val="Times New Roman"/>
        <family val="1"/>
        <charset val="204"/>
      </rPr>
      <t>из них</t>
    </r>
    <r>
      <rPr>
        <sz val="12"/>
        <color indexed="8"/>
        <rFont val="Times New Roman"/>
        <family val="1"/>
        <charset val="204"/>
      </rPr>
      <t>:</t>
    </r>
  </si>
  <si>
    <r>
      <t xml:space="preserve">Специалисты (кроме по охране труда), </t>
    </r>
    <r>
      <rPr>
        <i/>
        <sz val="12"/>
        <color indexed="8"/>
        <rFont val="Times New Roman"/>
        <family val="1"/>
        <charset val="204"/>
      </rPr>
      <t>из них</t>
    </r>
    <r>
      <rPr>
        <sz val="12"/>
        <color indexed="8"/>
        <rFont val="Times New Roman"/>
        <family val="1"/>
        <charset val="204"/>
      </rPr>
      <t>:</t>
    </r>
  </si>
  <si>
    <r>
      <t>Специалисты по охране труда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 xml:space="preserve">, </t>
    </r>
    <r>
      <rPr>
        <i/>
        <sz val="12"/>
        <color indexed="8"/>
        <rFont val="Times New Roman"/>
        <family val="1"/>
        <charset val="204"/>
      </rPr>
      <t>из них</t>
    </r>
    <r>
      <rPr>
        <sz val="12"/>
        <color indexed="8"/>
        <rFont val="Times New Roman"/>
        <family val="1"/>
        <charset val="204"/>
      </rPr>
      <t>:</t>
    </r>
  </si>
  <si>
    <r>
      <t xml:space="preserve">рабочие, </t>
    </r>
    <r>
      <rPr>
        <i/>
        <sz val="12"/>
        <color indexed="8"/>
        <rFont val="Times New Roman"/>
        <family val="1"/>
        <charset val="204"/>
      </rPr>
      <t>из них</t>
    </r>
    <r>
      <rPr>
        <sz val="12"/>
        <color indexed="8"/>
        <rFont val="Times New Roman"/>
        <family val="1"/>
        <charset val="204"/>
      </rPr>
      <t>:</t>
    </r>
  </si>
  <si>
    <r>
      <t xml:space="preserve">Категория обучаемых
</t>
    </r>
    <r>
      <rPr>
        <sz val="9"/>
        <color indexed="8"/>
        <rFont val="Arial Narrow"/>
        <family val="2"/>
        <charset val="204"/>
      </rPr>
      <t>(действующие руководители, специалисты и рабочие)</t>
    </r>
  </si>
  <si>
    <r>
      <t xml:space="preserve">внеочередные
</t>
    </r>
    <r>
      <rPr>
        <sz val="9"/>
        <color indexed="8"/>
        <rFont val="Arial Narrow"/>
        <family val="2"/>
        <charset val="204"/>
      </rPr>
      <t>(по требованию)</t>
    </r>
  </si>
  <si>
    <t>по охране труда и проверку знания требований охраны труда</t>
  </si>
  <si>
    <t>оказанию первой помощи пострадавшим</t>
  </si>
  <si>
    <t>ВНИМАНИЕ! После того как заполните все листы этой книги (файла), убедитесь в отсутствии ячеек с красным фоном! Наличие красного фона в ячейке указывает на недопустимое значение введенных данных. При этом ошибка в ячейке может быть связана не только с данными, введенными на этом же листе, но и с зависимыми данными, введенными на других листах данной книги.</t>
  </si>
  <si>
    <r>
      <rPr>
        <i/>
        <sz val="10"/>
        <color indexed="8"/>
        <rFont val="Arial"/>
        <family val="2"/>
        <charset val="204"/>
      </rPr>
      <t>из них</t>
    </r>
    <r>
      <rPr>
        <sz val="10"/>
        <color indexed="8"/>
        <rFont val="Arial"/>
        <family val="2"/>
        <charset val="204"/>
      </rPr>
      <t xml:space="preserve"> прошли обучение</t>
    </r>
  </si>
  <si>
    <t xml:space="preserve">      Проведение в установленном порядке работ по аттестации рабочих мест по условиям труда, оценке уровней профессиональных рисков</t>
  </si>
  <si>
    <t xml:space="preserve">      Реализация мероприятий по улучшению условий труда, в том числе разработанных по результатам аттестации рабочих мест по условиям труда, и оценки уровней профессиональных рисков</t>
  </si>
  <si>
    <t xml:space="preserve">      Внедрение систем (устройств) автоматического и дистанционного управления и регулирования производственным оборудованием, технологическими процессами, подъемными и транспортными устройствами</t>
  </si>
  <si>
    <t xml:space="preserve">      Приобретение и монтаж средств сигнализации о нарушении нормального функционирования производственного оборудования, средств аварийной остановки, а также устройств, позволяющих исключить возникновение опасных ситуаций при полном или частичном прекращении энергоснабжения и последующем его восстановлении</t>
  </si>
  <si>
    <t xml:space="preserve">      Устройство ограждений элементов производственного оборудования от воздействия движущихся частей, а также разлетающихся предметов, включая наличие фиксаторов, блокировок, герметизирующих и других элементов</t>
  </si>
  <si>
    <t xml:space="preserve">      Устройство новых и (или) модернизация имеющихся средств коллективной защиты работников от воздействия опасных и вредных производственных факторов</t>
  </si>
  <si>
    <t xml:space="preserve">      Нанесение на производственное оборудование, органы управления и контроля, элементы конструкций, коммуникаций и на другие объекты сигнальных цветов и знаков безопасности</t>
  </si>
  <si>
    <t xml:space="preserve">      Внедрение систем автоматического контроля уровней опасных и вредных производственных факторов на рабочих местах</t>
  </si>
  <si>
    <t xml:space="preserve">      Внедрение и (или) модернизация технических устройств, обеспечивающих защиту работников от поражения электрическим током</t>
  </si>
  <si>
    <t xml:space="preserve">      Установка предохранительных, защитных и сигнализирующих устройств (приспособлений) в целях обеспечения безопасной эксплуатации и аварийной защиты паровых, водяных, газовых, кислотных, щелочных, расплавных и других производственных коммуникаций, оборудования и сооружений</t>
  </si>
  <si>
    <t xml:space="preserve">      Механизация и автоматизация технологических операций (процессов), связанных с хранением, перемещением (транспортированием), заполнением и опорожнением передвижных и стационарных резервуаров (сосудов) с ядовитыми, агрессивными, легковоспламеняющимися и горючими жидкостями, используемыми в производстве</t>
  </si>
  <si>
    <t xml:space="preserve">      Механизация работ при складировании и транспортировании сырья, оптовой продукции и отходов производства</t>
  </si>
  <si>
    <t xml:space="preserve">      Механизация уборки производственных помещений, своевременное удаление и обезвреживание отходов производства, являющихся источниками опасных и вредных производственных факторов, очистки воздуховодов и вентиляционных установок, осветительной арматуры, окон, фрамуг, световых фонарей</t>
  </si>
  <si>
    <t xml:space="preserve">      Модернизация оборудования (его реконструкция, замена), а также технологических процессов на рабочих местах с целью снижения до допустимых уровней содержания вредных веществ в воздухе рабочей зоны, механических колебаний (шум, вибрация, ультразвук, инфразвук) и излучений (ионизирующего, электромагнитного, лазерного, ультрафиолетового)</t>
  </si>
  <si>
    <t xml:space="preserve">      Устройство новых и реконструкция имеющихся отопительных и вентиляционных систем в производственных и бытовых помещениях, тепловых и воздушных завес, аспирационных и пылегазоулавливающих установок, установок кондиционирования воздуха с целью обеспечения нормального теплового режима и микроклимата, чистоты воздушной среды в рабочей и обслуживаемых зонах помещений</t>
  </si>
  <si>
    <t xml:space="preserve">      Приведение уровней естественного и искусственного освещения на рабочих местах, в бытовых помещениях, местах прохода работников в соответствии с действующими нормами</t>
  </si>
  <si>
    <t xml:space="preserve">      Устройство новых и (или) реконструкция имеющихся мест организованного отдыха, помещений и комнат релаксации, психологической разгрузки, мест обогрева работников, а также укрытий от солнечных лучей и атмосферных осадков при работах на открытом воздухе; расширение, реконструкция и оснащение санитарно-бытовых помещений</t>
  </si>
  <si>
    <t xml:space="preserve">      Приобретение и монтаж установок (автоматов) для обеспечения работников питьевой водой</t>
  </si>
  <si>
    <t xml:space="preserve">      Обеспечение в установленном порядке работников, занятых на работах с вредными или опасными условиями труда, а также на работах, производимых в особых температурных и климатических условиях или связанных с загрязнением, специальной одеждой, специальной обувью и другими средствами индивидуальной защиты, смывающими и обезвреживающими средствами</t>
  </si>
  <si>
    <t xml:space="preserve">      Обеспечение хранения средств индивидуальной защиты (СИЗ), а также ухода за ними (своевременная химчистка, стирка, дегазация, дезактивация, дезинфекция, обезвреживание, обеспыливание, сушка), проведение ремонта и замена СИЗ</t>
  </si>
  <si>
    <t xml:space="preserve">      Приобретение стендов, тренажеров, наглядных материалов, научно-технической литературы для проведения инструктажей по охране труда, обучения безопасным приемам и методам выполнения работ, оснащение кабинетов (учебных классов) по охране труда компьютерами, теле-, видео-, аудиоаппаратурой, лицензионными обучающими и тестирующими программами, проведение выставок, конкурсов и смотров по охране труда</t>
  </si>
  <si>
    <t xml:space="preserve">      Организация в установленном порядке обучения, инструктажа, проверки знаний по охране труда работников</t>
  </si>
  <si>
    <t xml:space="preserve">      Организация обучения работников оказанию первой помощи пострадавшим на производстве</t>
  </si>
  <si>
    <t xml:space="preserve">      Обучение лиц, ответственных за эксплуатацию опасных производственных объектов</t>
  </si>
  <si>
    <t xml:space="preserve">      Проведение в установленном порядке обязательных предварительных и периодических медицинских осмотров (обследований)</t>
  </si>
  <si>
    <t xml:space="preserve">      Оборудование по установленным нормам помещения для оказания медицинской помощи и (или) создание санитарных постов с аптечками, укомплектованными набором лекарственных средств и препаратов для оказания первой помощи</t>
  </si>
  <si>
    <t xml:space="preserve">      Устройство тротуаров, переходов, тоннелей, галерей на территории организации в целях обеспечения безопасности работников</t>
  </si>
  <si>
    <t xml:space="preserve">      Организация и проведение производственного контроля в порядке, установленном действующим законодательством</t>
  </si>
  <si>
    <t xml:space="preserve">      Издание (тиражирование) инструкций по охране труда</t>
  </si>
  <si>
    <t xml:space="preserve">      Перепланировка размещения производственного оборудования, организация рабочих мест с целью обеспечения безопасности работников</t>
  </si>
  <si>
    <t xml:space="preserve">      Проектирование и обустройство учебно-тренировочных полигонов для отработки работниками практических навыков безопасного производства работ, в том числе на опасных производственных объектах</t>
  </si>
  <si>
    <t xml:space="preserve">       члены комиссии по проверке знания требований охраны труда;</t>
  </si>
  <si>
    <t>председатель комитета (комиссии) по охране труда;</t>
  </si>
  <si>
    <t>председатель комиссии по проверке знания требований охраны труда;</t>
  </si>
  <si>
    <t>председатель аттестационной комиссии по условиям труда</t>
  </si>
  <si>
    <t>ООО «Джениус-Консалтинг» (Ставрополь)</t>
  </si>
  <si>
    <t>Не заполняются при осуществлении функции охраны труда работодателем или специалистом организации</t>
  </si>
  <si>
    <t>(адрес электронной почты)</t>
  </si>
  <si>
    <t>СВЕДЕНИЯ
о специалисте по охране труда (руководителе службы охраны труда, уполномоченном работнике) организации; специалисте, выполняющем их функции по гражданско-правовому договору</t>
  </si>
  <si>
    <r>
      <t>НАИМЕНОВАНИЕ
аккредитованной организации, оказывающей услуги
по осуществлению функций службы охраны труда</t>
    </r>
    <r>
      <rPr>
        <b/>
        <vertAlign val="superscript"/>
        <sz val="14"/>
        <color indexed="13"/>
        <rFont val="Times New Roman"/>
        <family val="1"/>
        <charset val="204"/>
      </rPr>
      <t>*</t>
    </r>
  </si>
  <si>
    <t xml:space="preserve">       председатель (его заместители) и члены комиссии по проверке знания требований охраны труда;</t>
  </si>
  <si>
    <t xml:space="preserve">       председатель (его заместители) и члены комитета (комиссии) по охране труда;</t>
  </si>
  <si>
    <t xml:space="preserve">       председатель (его заместители) и члены аттестационной комиссии по условиям труда</t>
  </si>
  <si>
    <t xml:space="preserve">       члены комитета (комиссии) по охране труда;</t>
  </si>
  <si>
    <t>ИНФОРМАЦИЯ
о предоставлении работникам гарантий и компенсаций
за работу с вредными и (или) опасными условиями труда</t>
  </si>
  <si>
    <t>Класс условий труда</t>
  </si>
  <si>
    <t>Численность работников,
занятых на данных рабочих местах</t>
  </si>
  <si>
    <t>из них:</t>
  </si>
  <si>
    <t>Сведения об этапах проведения оценки</t>
  </si>
  <si>
    <t>−</t>
  </si>
  <si>
    <t>1 этап</t>
  </si>
  <si>
    <t>2 этап</t>
  </si>
  <si>
    <t>3 этап</t>
  </si>
  <si>
    <t>4 этап</t>
  </si>
  <si>
    <t>последний этап</t>
  </si>
  <si>
    <t>4</t>
  </si>
  <si>
    <r>
      <t>ИНФОРМАЦИЯ</t>
    </r>
    <r>
      <rPr>
        <sz val="16"/>
        <color indexed="8"/>
        <rFont val="Arial"/>
        <family val="2"/>
        <charset val="204"/>
      </rPr>
      <t xml:space="preserve">
о результатах проведения специальной оценки условий труда</t>
    </r>
  </si>
  <si>
    <t>(дата начала/конца)</t>
  </si>
  <si>
    <t>Исполнитель</t>
  </si>
  <si>
    <r>
      <t xml:space="preserve">Численность работников,
занятых на данных рабочих местах, </t>
    </r>
    <r>
      <rPr>
        <i/>
        <sz val="12"/>
        <color indexed="8"/>
        <rFont val="Arial"/>
        <family val="2"/>
        <charset val="204"/>
      </rPr>
      <t>чел.</t>
    </r>
    <r>
      <rPr>
        <sz val="12"/>
        <color indexed="8"/>
        <rFont val="Arial"/>
        <family val="2"/>
        <charset val="204"/>
      </rPr>
      <t>,</t>
    </r>
  </si>
  <si>
    <r>
      <t xml:space="preserve">Количество рабочих мест,
на которых проведена оценка, </t>
    </r>
    <r>
      <rPr>
        <i/>
        <sz val="12"/>
        <color indexed="8"/>
        <rFont val="Arial"/>
        <family val="2"/>
        <charset val="204"/>
      </rPr>
      <t>ед.</t>
    </r>
  </si>
  <si>
    <r>
      <t>Период</t>
    </r>
    <r>
      <rPr>
        <vertAlign val="superscript"/>
        <sz val="12"/>
        <color indexed="8"/>
        <rFont val="Arial"/>
        <family val="2"/>
        <charset val="204"/>
      </rPr>
      <t>*</t>
    </r>
  </si>
  <si>
    <r>
      <t>ИНФОРМАЦИЯ</t>
    </r>
    <r>
      <rPr>
        <sz val="16"/>
        <rFont val="Arial Cyr"/>
        <charset val="204"/>
      </rPr>
      <t xml:space="preserve">
об аттестации рабочих мест по условиям труда</t>
    </r>
  </si>
  <si>
    <t>(наименование организации, проводившей специальную оценку условий труда)</t>
  </si>
  <si>
    <t>ВНИМАНИЕ! После того как заполните все листы этой книги (файла), убедитесь в отсутствии ячеек с красным фоном! Наличие красного фона в ячейке указывает на недопустимое значение введенных данных. При этом ошибка в ячейке может быть связана не только с данными, введенными на этом же листе, но и с данными введенными на других листах данной книги.</t>
  </si>
  <si>
    <t>Работодатель (представитель нанимателя)</t>
  </si>
  <si>
    <t>Количество рабочих мест по данному виду гарантии или компенсации</t>
  </si>
  <si>
    <t>декларация</t>
  </si>
  <si>
    <t>Чтобы добавить в список выбора "Исполнитель" проводившую специальную оценку условий труда организацию, название которой в указанном списке отсутствует, следует название этой организации ввести в одно из нижеследующих четырех полей с соблюдением написания названия согласно реестру аккредитованных организаций, оказывающих услуги в области охраны труда в части проведения аттестации рабочих мест по условиям труда, либо реестру организаций, проводящих специальную оценку условий труда.</t>
  </si>
  <si>
    <r>
      <t>1</t>
    </r>
    <r>
      <rPr>
        <sz val="8"/>
        <rFont val="Arial Narrow"/>
        <family val="2"/>
        <charset val="204"/>
      </rPr>
      <t xml:space="preserve">  Директора по направлениям деятельности (технический директор, по общим вопросам, по работе с персоналом и др.), главный инженер.
</t>
    </r>
    <r>
      <rPr>
        <vertAlign val="superscript"/>
        <sz val="8"/>
        <rFont val="Arial Narrow"/>
        <family val="2"/>
        <charset val="204"/>
      </rPr>
      <t>2</t>
    </r>
    <r>
      <rPr>
        <sz val="8"/>
        <rFont val="Arial Narrow"/>
        <family val="2"/>
        <charset val="204"/>
      </rPr>
      <t xml:space="preserve">  Главный энергетик, главный механик, главный технолог и т.д.
</t>
    </r>
    <r>
      <rPr>
        <vertAlign val="superscript"/>
        <sz val="8"/>
        <rFont val="Arial Narrow"/>
        <family val="2"/>
        <charset val="204"/>
      </rPr>
      <t>3</t>
    </r>
    <r>
      <rPr>
        <sz val="8"/>
        <rFont val="Arial Narrow"/>
        <family val="2"/>
        <charset val="204"/>
      </rPr>
      <t xml:space="preserve">  Руководитель и специалисты службы охраны труда, штатный специалист по охране труда.</t>
    </r>
  </si>
  <si>
    <t>Чтобы добавить в список выбора аттестующих организаций название, которое в нем отсутствует, следует это название ввести в одно из нижеследующих четырех полей с соблюдением написания названия согласно реестру аккредитованных организаций, оказывающих услуги в области охраны труда (размещен на www.rao.rosmintrud.ru).</t>
  </si>
  <si>
    <t>Чтобы добавить в список выбора обучающих организаций наименование, которое в нем отсутствует, следует это название набрать с клавиатуры в нижеследующее поле с соблюдением написания вводимого названия согласно реестру аккредитованных организаций, оказывающих услуги в области охраны труда (размещен на www.rao.rosmintrud.ru). Вводить в поле не более одного названия</t>
  </si>
  <si>
    <r>
      <t xml:space="preserve">Заполнять данную таблицу только после ввода данных в таблицу на закладке «COYT» или </t>
    </r>
    <r>
      <rPr>
        <b/>
        <i/>
        <sz val="12.5"/>
        <color indexed="60"/>
        <rFont val="Arial"/>
        <family val="2"/>
        <charset val="204"/>
      </rPr>
      <t>«</t>
    </r>
    <r>
      <rPr>
        <b/>
        <i/>
        <sz val="10"/>
        <color indexed="60"/>
        <rFont val="Arial"/>
        <family val="2"/>
        <charset val="204"/>
      </rPr>
      <t>АРМ»</t>
    </r>
  </si>
  <si>
    <r>
      <t>ВНИМАНИЕ! После того как заполните все листы этой книги (файла), убедитесь в отсутствии ячеек с красным фоном! Наличие ячеек с красным фоном указывает на ошибку в введенных данных. При этом ошибка в ячейке может быть связана не только с данными, введенными на этом же листе, но и с данными введенными на других листах данной книги.</t>
    </r>
    <r>
      <rPr>
        <sz val="10"/>
        <color indexed="10"/>
        <rFont val="Arial"/>
        <family val="2"/>
        <charset val="204"/>
      </rPr>
      <t/>
    </r>
  </si>
  <si>
    <t>(номера телефонов)</t>
  </si>
  <si>
    <t>(номера факсов)</t>
  </si>
  <si>
    <t>Вид гарантий и компенсаций, устанавливаемых работникам за работу в условиях превышения гигиенических нормативов</t>
  </si>
  <si>
    <r>
      <t xml:space="preserve">Число работников на данных рабочих местах,
которым установлена гарантия или компенсация за работу в условиях превышения гигиенических нормативов, </t>
    </r>
    <r>
      <rPr>
        <i/>
        <sz val="12"/>
        <color indexed="8"/>
        <rFont val="Arial Narrow"/>
        <family val="2"/>
        <charset val="204"/>
      </rPr>
      <t>чел.</t>
    </r>
  </si>
  <si>
    <t>Численность работников, получающих хотя бы один вид компенсаций, −</t>
  </si>
  <si>
    <t>Чтобы добавить в список нужное название аккредитованной организации, которое в нем отсутствует, следует это название ввести в нижеследующее поле с соблюдением написания названия согласно реестру аккредитованных организаций, оказывающих услуги в области охраны труда (размещен на www.rao.rosmintrud.ru).</t>
  </si>
  <si>
    <r>
      <t xml:space="preserve">ИНФОРМАЦИЯ
</t>
    </r>
    <r>
      <rPr>
        <sz val="14"/>
        <color indexed="8"/>
        <rFont val="Arial"/>
        <family val="2"/>
        <charset val="204"/>
      </rPr>
      <t xml:space="preserve">о наличии в организации вредных и (или) опасных условий труда
</t>
    </r>
    <r>
      <rPr>
        <sz val="10"/>
        <color indexed="8"/>
        <rFont val="Arial"/>
        <family val="2"/>
        <charset val="204"/>
      </rPr>
      <t>(по сведениям аттестации рабочих мест по условиям труда, специальной оценки условий труда)</t>
    </r>
  </si>
  <si>
    <t>МЕТОДИЧЕСКОЕ ПОСОБИЕ</t>
  </si>
  <si>
    <t>по заполнению таблиц экспертного опроса об условиях и охране труда в организации</t>
  </si>
  <si>
    <t>(чтобы открыть, следует по нижеследующей надписи щелкнуть дважды клавишей мыши)</t>
  </si>
  <si>
    <t>АНО учебный центр дополнительного профессионального образования "Прогресс" (Ставрополь)</t>
  </si>
  <si>
    <t>ООО "Джениус-Консалтинг" (Ставрополь)</t>
  </si>
  <si>
    <t>ООО НПП "Охрана труда" (Пятигорск)</t>
  </si>
  <si>
    <t>ООО "Профресурсы" (Кисловодск)</t>
  </si>
  <si>
    <t>ООО "ЦОТ СК" (Ставрополь)</t>
  </si>
  <si>
    <t>НОУ УКК "Ставрополькрайагрокомплекс" (Михайловск)</t>
  </si>
  <si>
    <t>ТПП СК (Ставрополь)</t>
  </si>
  <si>
    <t>ООО "Аспект-Плюс" (Ставрополь)</t>
  </si>
  <si>
    <t>Год рождения:</t>
  </si>
  <si>
    <t>(высшее [институт, университет и т.п.], профессиональное среднее [техникум, колледж] или начальное [ПТУ], среднее общее)</t>
  </si>
  <si>
    <t>НОУ УКК "Буденновский" (Будённовск)</t>
  </si>
  <si>
    <t>Местное отделение ДОСААФ России Красногвардейского района Севастопольского края (с.Красногвардейское, Красногвардейский район)</t>
  </si>
  <si>
    <t>ГГРК "Интеграл" (Георгиевск)</t>
  </si>
  <si>
    <t>ГОУ ВПО "НГГТИ" (Невинномысск)</t>
  </si>
  <si>
    <t>Пятигоский филиал АНО "Учебный центр дополнительного профессионального образования "Прогресс" (Пятигорск)</t>
  </si>
  <si>
    <t>Светлоградский филиал АНО УЦДПО "Профи" (Светлоград)</t>
  </si>
  <si>
    <t>АНО "УЦДПО "Профи" (Ставрополь)</t>
  </si>
  <si>
    <t>НОУ "Региональный центр охраны труда АПК" (Ставрополь)</t>
  </si>
  <si>
    <t>ГБОУ СПО ГТТ (Георгиевск)</t>
  </si>
  <si>
    <t>ГОУ НПО ПУ № 48 (Новопавловск)</t>
  </si>
  <si>
    <t>ООО "Ставропольского края УпОТ" (Пятигорск)</t>
  </si>
  <si>
    <t>ГОУ НПО ПУ № 39 (Зеленокумск)</t>
  </si>
  <si>
    <t>ГОУ СПО РПК (Будённовск)</t>
  </si>
  <si>
    <t>ГБОУ "СРРЦ" (Ставрополь)</t>
  </si>
  <si>
    <t>НОУ "Зеленокумский учебный центр по подготовке кадров" (Зеленокумск)</t>
  </si>
  <si>
    <t>ФГОУ ВПО Ставропольский ГАУ (Ставрополь)</t>
  </si>
  <si>
    <t>АНО "УЦ ДПО "Прогресс" (Ставрополь)</t>
  </si>
  <si>
    <t>Кисловодский филиал АНО "Учебный центр дополнительного профессионального образования "Прогресс" (Кисловодск)</t>
  </si>
  <si>
    <t>МУКК "Левокумский" (с.Левокумское, Левокумский район)</t>
  </si>
  <si>
    <t>НАТК (Невинномысск)</t>
  </si>
  <si>
    <t>ГБОУ НПО ПУ № 46 (с.Дивное, Апанасенковский район)</t>
  </si>
  <si>
    <t>Местное отделение ДОСААФ России Кочубеевского района Ставропольского края (с.Кочубеевское, Кочубеевский район)</t>
  </si>
  <si>
    <t>ГБОУ СПО НСХТ (ст.Новотроицкая, Изобильненский район)</t>
  </si>
  <si>
    <t>ЗАО УКП "Ставропольстром" (Ставрополь)</t>
  </si>
  <si>
    <t>НОУ ЦО "Лидер" (Новоалександровск, Новоалександровский район)</t>
  </si>
  <si>
    <t>"СевКавГТУ" (Ставрополь)</t>
  </si>
  <si>
    <t>МОУ ЦО "Прогресс" (Будённовск)</t>
  </si>
  <si>
    <t>МКОУ РВОШ (с.Донское, Труновский район)</t>
  </si>
  <si>
    <t>ФГОУ СПО "Александровский сельскохозяйственный колледж" (с.Александровское, Александровский район)</t>
  </si>
  <si>
    <t>ГОУ НПО ПЛ № 28 (Ипатово, Ипатовский район)</t>
  </si>
  <si>
    <t>АНО "УЦДПО "ПРОГРЕСС" (Минеральные Воды)</t>
  </si>
  <si>
    <t>ГБОУ СПО КРК "Интеграл" (с.Курсавка, Андроповский район)</t>
  </si>
  <si>
    <t>НОУ ДПО "ПРОГРЕСС" (Ставрополь)</t>
  </si>
  <si>
    <t>НОУ "Учебный комбинат" (Ессентуки)</t>
  </si>
  <si>
    <t>СКФ БГТУ им.В.Г.Шухова (Минеральные Воды)</t>
  </si>
  <si>
    <t>филиал РГУПС в г.Минеральные Воды</t>
  </si>
  <si>
    <t>НОУ "Учебно-курсовой комбинат" (Ставрополь)</t>
  </si>
  <si>
    <t>Пятигорский филиал АНО "УКК "Профи" (Пятигорск)</t>
  </si>
  <si>
    <t>Благодарненское районное общество "Знание" (Благодарный)</t>
  </si>
  <si>
    <t>АНО "ЦОПК "СВЕТОЧ" (Ставрополь)</t>
  </si>
  <si>
    <t>Учебно-курсовой комбинат "ЗНАНИЕ" (Ставрополь)</t>
  </si>
  <si>
    <t>НОУ ДО СКОЦ "Знание" (Ставрополь)</t>
  </si>
  <si>
    <t>НОУ ДПО "Юцпк Промышленная безопасность" (Невинномысск)</t>
  </si>
  <si>
    <t>ЧУ ДПО "Северо-Кавказский учебный центр" (Ставрополь)</t>
  </si>
  <si>
    <t>НОУ ДПО УКК Пятигорский (Пятигорск)</t>
  </si>
  <si>
    <t xml:space="preserve">      Реализация мероприятий, направленных на развитие физической культуры и спорта в трудовых коллективах, в том числе:</t>
  </si>
  <si>
    <r>
      <t xml:space="preserve">      </t>
    </r>
    <r>
      <rPr>
        <sz val="12"/>
        <color indexed="8"/>
        <rFont val="Calibri"/>
        <family val="2"/>
        <charset val="204"/>
      </rPr>
      <t>̶</t>
    </r>
    <r>
      <rPr>
        <sz val="15"/>
        <color indexed="8"/>
        <rFont val="Arial Narrow"/>
        <family val="2"/>
        <charset val="204"/>
      </rPr>
      <t xml:space="preserve">  </t>
    </r>
    <r>
      <rPr>
        <sz val="12"/>
        <color indexed="8"/>
        <rFont val="Arial Narrow"/>
        <family val="2"/>
        <charset val="204"/>
      </rPr>
      <t>компенсация работникам оплаты занятий спортом в клубах и секциях;</t>
    </r>
  </si>
  <si>
    <r>
      <rPr>
        <sz val="12"/>
        <color indexed="8"/>
        <rFont val="Calibri"/>
        <family val="2"/>
        <charset val="204"/>
      </rPr>
      <t xml:space="preserve">      ̶</t>
    </r>
    <r>
      <rPr>
        <sz val="15"/>
        <color indexed="8"/>
        <rFont val="Arial Narrow"/>
        <family val="2"/>
        <charset val="204"/>
      </rPr>
      <t xml:space="preserve">  </t>
    </r>
    <r>
      <rPr>
        <sz val="12"/>
        <color indexed="8"/>
        <rFont val="Arial Narrow"/>
        <family val="2"/>
        <charset val="204"/>
      </rPr>
      <t>организация и проведение физкультурных и спортивных мероприятий, в том числе мероприятий по внедрению Всероссийского физкультурно-спортивного комплекса "Готов к труду и обороне" (ГТО), включая оплату труда методистов и тренеров, привлекаемых к выполнению указанных мероприятий;</t>
    </r>
  </si>
  <si>
    <r>
      <rPr>
        <sz val="12"/>
        <color indexed="8"/>
        <rFont val="Calibri"/>
        <family val="2"/>
        <charset val="204"/>
      </rPr>
      <t xml:space="preserve">      ̶</t>
    </r>
    <r>
      <rPr>
        <sz val="15"/>
        <color indexed="8"/>
        <rFont val="Arial Narrow"/>
        <family val="2"/>
        <charset val="204"/>
      </rPr>
      <t xml:space="preserve">  </t>
    </r>
    <r>
      <rPr>
        <sz val="12"/>
        <color indexed="8"/>
        <rFont val="Arial Narrow"/>
        <family val="2"/>
        <charset val="204"/>
      </rPr>
      <t xml:space="preserve">организация и проведение физкультурно-оздоровительных мероприятий (производственной гимнастики, лечебной физической культуры (далее  </t>
    </r>
    <r>
      <rPr>
        <sz val="12"/>
        <color indexed="8"/>
        <rFont val="Calibri"/>
        <family val="2"/>
        <charset val="204"/>
      </rPr>
      <t>̶</t>
    </r>
    <r>
      <rPr>
        <sz val="12"/>
        <color indexed="8"/>
        <rFont val="Arial Narrow"/>
        <family val="2"/>
        <charset val="204"/>
      </rPr>
      <t xml:space="preserve">  ЛФК) с работниками, которым по рекомендации лечащего врача и на основании результатов медицинских осмотров показаны занятия ЛФК), включая оплату труда методистов, тренеров, врачей-специалистов, привлекаемых к выполнению указанных мероприятий;</t>
    </r>
  </si>
  <si>
    <r>
      <rPr>
        <sz val="12"/>
        <color indexed="8"/>
        <rFont val="Calibri"/>
        <family val="2"/>
        <charset val="204"/>
      </rPr>
      <t xml:space="preserve">      ̶</t>
    </r>
    <r>
      <rPr>
        <sz val="15"/>
        <color indexed="8"/>
        <rFont val="Arial Narrow"/>
        <family val="2"/>
        <charset val="204"/>
      </rPr>
      <t xml:space="preserve">  </t>
    </r>
    <r>
      <rPr>
        <sz val="12"/>
        <color indexed="8"/>
        <rFont val="Arial Narrow"/>
        <family val="2"/>
        <charset val="204"/>
      </rPr>
      <t>приобретение, содержание и обновление спортивного инвентаря;</t>
    </r>
  </si>
  <si>
    <r>
      <rPr>
        <sz val="12"/>
        <color indexed="8"/>
        <rFont val="Calibri"/>
        <family val="2"/>
        <charset val="204"/>
      </rPr>
      <t xml:space="preserve">      ̶ </t>
    </r>
    <r>
      <rPr>
        <sz val="15"/>
        <color indexed="8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>устройство новых и (или) реконструкция имеющихся помещений и площадок для занятий спортом;</t>
    </r>
  </si>
  <si>
    <r>
      <rPr>
        <sz val="12"/>
        <color indexed="8"/>
        <rFont val="Calibri"/>
        <family val="2"/>
        <charset val="204"/>
      </rPr>
      <t xml:space="preserve">      ̶  </t>
    </r>
    <r>
      <rPr>
        <sz val="12"/>
        <color indexed="8"/>
        <rFont val="Arial Narrow"/>
        <family val="2"/>
        <charset val="204"/>
      </rPr>
      <t>создание и развитие физкультурно-спортивных клубов, организованных в целях массового привлечения граждан к занятиям физической культурой и спортом по месту работы.</t>
    </r>
  </si>
  <si>
    <t xml:space="preserve">* Конец периода - дата утверждения отчета о проведении специальной оценки условий труда, начало - дата приказа об образования комиссии и утверждении порядка ее деятельности или дата приступления к фактическому выполнению работ по оценке после завершения и утверждения результатов предыдущего этапа согласно графику проведения работ </t>
  </si>
  <si>
    <t>НОУ "Южный учебно-методический центр" (Ставрополь)</t>
  </si>
  <si>
    <t>ООО "ПБ" (Ставрополь)</t>
  </si>
  <si>
    <t>ДА</t>
  </si>
  <si>
    <t>НЕТ</t>
  </si>
  <si>
    <t>собственные средства</t>
  </si>
  <si>
    <t>иные средства</t>
  </si>
  <si>
    <t>средства
ФСС России</t>
  </si>
  <si>
    <t>бюджетные средства</t>
  </si>
  <si>
    <t>3.4.2</t>
  </si>
  <si>
    <t>Вид собственности:</t>
  </si>
  <si>
    <t>муниципальная</t>
  </si>
  <si>
    <t>частная</t>
  </si>
  <si>
    <t>федеральная</t>
  </si>
  <si>
    <t>краевая</t>
  </si>
  <si>
    <t>Касач Галина Александровна</t>
  </si>
  <si>
    <t>Котова Анна Алексеевна</t>
  </si>
  <si>
    <t>уполномоченный работодателем работник</t>
  </si>
  <si>
    <t>нет</t>
  </si>
  <si>
    <t>высшее</t>
  </si>
  <si>
    <t>юриспруденция</t>
  </si>
  <si>
    <t>юрисконсульт</t>
  </si>
  <si>
    <t>9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</si>
  <si>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</si>
  <si>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85.13</t>
  </si>
  <si>
    <t>Ставропольский край Кочубеевский район станица Барсуковская ул.Шевченко д.2</t>
  </si>
  <si>
    <t>14/1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</si>
</sst>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[$-FC19]dd\ mmmm\ yyyy\ \г\.;@"/>
    <numFmt numFmtId="165" formatCode="#,##0.00_р_."/>
    <numFmt numFmtId="166" formatCode="#,##0_ ;\-#,##0\ "/>
    <numFmt numFmtId="167" formatCode="dd/mm/yy;@"/>
  </numFmts>
  <fonts count="142">
    <font>
      <sz val="11"/>
      <color theme="1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sz val="12"/>
      <name val="Arial Cyr"/>
      <charset val="204"/>
    </font>
    <font>
      <sz val="8"/>
      <name val="Arial Narrow"/>
      <family val="2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sz val="12"/>
      <name val="Arial Narrow"/>
      <family val="2"/>
      <charset val="204"/>
    </font>
    <font>
      <b/>
      <sz val="12"/>
      <name val="Arial"/>
      <family val="2"/>
      <charset val="204"/>
    </font>
    <font>
      <i/>
      <sz val="12"/>
      <name val="Arial Narrow"/>
      <family val="2"/>
      <charset val="204"/>
    </font>
    <font>
      <sz val="14"/>
      <name val="Times New Roman"/>
      <family val="1"/>
      <charset val="204"/>
    </font>
    <font>
      <b/>
      <sz val="8"/>
      <color indexed="13"/>
      <name val="Tahoma"/>
      <family val="2"/>
      <charset val="204"/>
    </font>
    <font>
      <b/>
      <sz val="8"/>
      <color indexed="13"/>
      <name val="Arial"/>
      <family val="2"/>
      <charset val="204"/>
    </font>
    <font>
      <sz val="10"/>
      <name val="Arial Cyr"/>
      <charset val="204"/>
    </font>
    <font>
      <sz val="12"/>
      <color indexed="8"/>
      <name val="Arial"/>
      <family val="2"/>
      <charset val="204"/>
    </font>
    <font>
      <sz val="8"/>
      <color indexed="8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1"/>
      <color indexed="8"/>
      <name val="Arial"/>
      <family val="2"/>
      <charset val="204"/>
    </font>
    <font>
      <i/>
      <sz val="11"/>
      <color indexed="8"/>
      <name val="Arial Narrow"/>
      <family val="2"/>
      <charset val="204"/>
    </font>
    <font>
      <sz val="14"/>
      <color indexed="8"/>
      <name val="Times New Roman"/>
      <family val="1"/>
      <charset val="204"/>
    </font>
    <font>
      <i/>
      <sz val="12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i/>
      <sz val="11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sz val="14"/>
      <color indexed="13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8"/>
      <name val="Arial"/>
      <family val="2"/>
      <charset val="204"/>
    </font>
    <font>
      <i/>
      <sz val="14"/>
      <color indexed="13"/>
      <name val="Times New Roman"/>
      <family val="1"/>
      <charset val="204"/>
    </font>
    <font>
      <sz val="13"/>
      <name val="Arial Narrow"/>
      <family val="2"/>
      <charset val="204"/>
    </font>
    <font>
      <sz val="16"/>
      <name val="Arial Cyr"/>
      <charset val="204"/>
    </font>
    <font>
      <sz val="16"/>
      <color indexed="8"/>
      <name val="Arial"/>
      <family val="2"/>
      <charset val="204"/>
    </font>
    <font>
      <vertAlign val="superscript"/>
      <sz val="8"/>
      <color indexed="8"/>
      <name val="Arial Narrow"/>
      <family val="2"/>
      <charset val="204"/>
    </font>
    <font>
      <sz val="10"/>
      <color indexed="10"/>
      <name val="Arial"/>
      <family val="2"/>
      <charset val="204"/>
    </font>
    <font>
      <sz val="8"/>
      <color indexed="17"/>
      <name val="Arial Narrow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8"/>
      <name val="Calibri"/>
      <family val="2"/>
      <charset val="204"/>
    </font>
    <font>
      <sz val="8"/>
      <color indexed="48"/>
      <name val="Arial Narrow"/>
      <family val="2"/>
      <charset val="204"/>
    </font>
    <font>
      <sz val="8"/>
      <color indexed="12"/>
      <name val="Arial Narrow"/>
      <family val="2"/>
      <charset val="204"/>
    </font>
    <font>
      <sz val="8"/>
      <color indexed="61"/>
      <name val="Arial Cyr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7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Times New Roman"/>
      <family val="1"/>
      <charset val="204"/>
    </font>
    <font>
      <vertAlign val="superscript"/>
      <sz val="14"/>
      <color indexed="8"/>
      <name val="Arial"/>
      <family val="2"/>
      <charset val="204"/>
    </font>
    <font>
      <i/>
      <sz val="8"/>
      <color indexed="13"/>
      <name val="Arial"/>
      <family val="2"/>
      <charset val="204"/>
    </font>
    <font>
      <sz val="10"/>
      <color indexed="61"/>
      <name val="Arial Narrow"/>
      <family val="2"/>
      <charset val="204"/>
    </font>
    <font>
      <sz val="8"/>
      <color indexed="12"/>
      <name val="Arial Cyr"/>
      <charset val="204"/>
    </font>
    <font>
      <b/>
      <sz val="16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8"/>
      <color indexed="10"/>
      <name val="Arial"/>
      <family val="2"/>
      <charset val="204"/>
    </font>
    <font>
      <sz val="10"/>
      <color indexed="25"/>
      <name val="Arial Narrow"/>
      <family val="2"/>
      <charset val="204"/>
    </font>
    <font>
      <b/>
      <sz val="12"/>
      <color indexed="9"/>
      <name val="Arial"/>
      <family val="2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color indexed="9"/>
      <name val="Arial"/>
      <family val="2"/>
      <charset val="204"/>
    </font>
    <font>
      <sz val="8"/>
      <color indexed="8"/>
      <name val="Arial Cyr"/>
      <charset val="204"/>
    </font>
    <font>
      <b/>
      <sz val="12"/>
      <color indexed="9"/>
      <name val="Arial Cyr"/>
      <charset val="204"/>
    </font>
    <font>
      <sz val="14"/>
      <color indexed="8"/>
      <name val="Arial"/>
      <family val="2"/>
      <charset val="204"/>
    </font>
    <font>
      <sz val="12"/>
      <color indexed="8"/>
      <name val="Arial Narrow"/>
      <family val="2"/>
      <charset val="204"/>
    </font>
    <font>
      <i/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2"/>
      <color indexed="12"/>
      <name val="Times New Roman"/>
      <family val="1"/>
      <charset val="204"/>
    </font>
    <font>
      <sz val="12"/>
      <color indexed="12"/>
      <name val="Arial Narrow"/>
      <family val="2"/>
      <charset val="204"/>
    </font>
    <font>
      <i/>
      <sz val="12"/>
      <color indexed="12"/>
      <name val="Arial Narrow"/>
      <family val="2"/>
      <charset val="204"/>
    </font>
    <font>
      <sz val="12"/>
      <color indexed="12"/>
      <name val="Arial"/>
      <family val="2"/>
      <charset val="204"/>
    </font>
    <font>
      <sz val="14"/>
      <color indexed="26"/>
      <name val="Times New Roman"/>
      <family val="1"/>
      <charset val="204"/>
    </font>
    <font>
      <sz val="7"/>
      <color indexed="26"/>
      <name val="Arial"/>
      <family val="2"/>
      <charset val="204"/>
    </font>
    <font>
      <b/>
      <sz val="11"/>
      <color indexed="10"/>
      <name val="Arial Narrow"/>
      <family val="2"/>
      <charset val="204"/>
    </font>
    <font>
      <sz val="8"/>
      <color indexed="8"/>
      <name val="Arial"/>
      <family val="2"/>
      <charset val="204"/>
    </font>
    <font>
      <sz val="8"/>
      <color indexed="10"/>
      <name val="Arial"/>
      <family val="2"/>
      <charset val="204"/>
    </font>
    <font>
      <b/>
      <vertAlign val="superscript"/>
      <sz val="14"/>
      <color indexed="13"/>
      <name val="Times New Roman"/>
      <family val="1"/>
      <charset val="204"/>
    </font>
    <font>
      <sz val="7"/>
      <name val="Arial Cyr"/>
      <charset val="204"/>
    </font>
    <font>
      <sz val="14"/>
      <color indexed="13"/>
      <name val="Times New Roman"/>
      <family val="1"/>
      <charset val="204"/>
    </font>
    <font>
      <sz val="9"/>
      <color indexed="13"/>
      <name val="Times New Roman"/>
      <family val="1"/>
      <charset val="204"/>
    </font>
    <font>
      <i/>
      <sz val="14"/>
      <color indexed="13"/>
      <name val="Times New Roman"/>
      <family val="1"/>
      <charset val="204"/>
    </font>
    <font>
      <b/>
      <sz val="14"/>
      <color indexed="13"/>
      <name val="Times New Roman"/>
      <family val="1"/>
      <charset val="204"/>
    </font>
    <font>
      <sz val="8"/>
      <color indexed="13"/>
      <name val="Arial"/>
      <family val="2"/>
      <charset val="204"/>
    </font>
    <font>
      <sz val="17.5"/>
      <name val="Times New Roman"/>
      <family val="1"/>
      <charset val="204"/>
    </font>
    <font>
      <sz val="10"/>
      <color indexed="9"/>
      <name val="Arial Narrow"/>
      <family val="2"/>
      <charset val="204"/>
    </font>
    <font>
      <sz val="12"/>
      <color indexed="9"/>
      <name val="Arial Cyr"/>
      <charset val="204"/>
    </font>
    <font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sz val="9"/>
      <color indexed="8"/>
      <name val="Arial Narrow"/>
      <family val="2"/>
      <charset val="204"/>
    </font>
    <font>
      <sz val="11"/>
      <color indexed="8"/>
      <name val="Franklin Gothic Medium"/>
      <family val="2"/>
      <charset val="204"/>
    </font>
    <font>
      <i/>
      <sz val="10"/>
      <color indexed="8"/>
      <name val="Arial"/>
      <family val="2"/>
      <charset val="204"/>
    </font>
    <font>
      <b/>
      <sz val="10"/>
      <color indexed="8"/>
      <name val="Arial Narrow"/>
      <family val="2"/>
      <charset val="204"/>
    </font>
    <font>
      <vertAlign val="superscript"/>
      <sz val="8"/>
      <name val="Arial Narrow"/>
      <family val="2"/>
      <charset val="204"/>
    </font>
    <font>
      <sz val="14"/>
      <color indexed="8"/>
      <name val="Franklin Gothic Medium"/>
      <family val="2"/>
      <charset val="204"/>
    </font>
    <font>
      <sz val="12"/>
      <name val="Franklin Gothic Medium"/>
      <family val="2"/>
      <charset val="204"/>
    </font>
    <font>
      <sz val="9"/>
      <color indexed="8"/>
      <name val="Arial"/>
      <family val="2"/>
      <charset val="204"/>
    </font>
    <font>
      <b/>
      <i/>
      <sz val="10"/>
      <color indexed="60"/>
      <name val="Arial"/>
      <family val="2"/>
      <charset val="204"/>
    </font>
    <font>
      <b/>
      <i/>
      <sz val="12.5"/>
      <color indexed="60"/>
      <name val="Arial"/>
      <family val="2"/>
      <charset val="204"/>
    </font>
    <font>
      <sz val="12"/>
      <color indexed="8"/>
      <name val="Franklin Gothic Medium Cond"/>
      <family val="2"/>
      <charset val="204"/>
    </font>
    <font>
      <b/>
      <i/>
      <sz val="10"/>
      <color indexed="60"/>
      <name val="Arial"/>
      <family val="2"/>
      <charset val="204"/>
    </font>
    <font>
      <sz val="11"/>
      <color indexed="8"/>
      <name val="Tahoma"/>
      <family val="2"/>
      <charset val="204"/>
    </font>
    <font>
      <b/>
      <sz val="12"/>
      <color indexed="10"/>
      <name val="Arial"/>
      <family val="2"/>
      <charset val="204"/>
    </font>
    <font>
      <sz val="11"/>
      <name val="Calibri"/>
      <family val="2"/>
      <charset val="204"/>
    </font>
    <font>
      <sz val="9"/>
      <color indexed="22"/>
      <name val="Times New Roman"/>
      <family val="1"/>
      <charset val="204"/>
    </font>
    <font>
      <sz val="12"/>
      <color indexed="8"/>
      <name val="Franklin Gothic Medium"/>
      <family val="2"/>
      <charset val="204"/>
    </font>
    <font>
      <b/>
      <sz val="12"/>
      <color indexed="8"/>
      <name val="Arial"/>
      <family val="2"/>
      <charset val="204"/>
    </font>
    <font>
      <sz val="9"/>
      <color indexed="22"/>
      <name val="Arial"/>
      <family val="2"/>
      <charset val="204"/>
    </font>
    <font>
      <sz val="12"/>
      <color indexed="9"/>
      <name val="Arial"/>
      <family val="2"/>
      <charset val="204"/>
    </font>
    <font>
      <sz val="9"/>
      <color indexed="22"/>
      <name val="Arial Cyr"/>
      <charset val="204"/>
    </font>
    <font>
      <vertAlign val="superscript"/>
      <sz val="12"/>
      <color indexed="8"/>
      <name val="Arial"/>
      <family val="2"/>
      <charset val="204"/>
    </font>
    <font>
      <b/>
      <sz val="16"/>
      <name val="Arial Cyr"/>
      <charset val="204"/>
    </font>
    <font>
      <sz val="8"/>
      <color indexed="23"/>
      <name val="Arial"/>
      <family val="2"/>
      <charset val="204"/>
    </font>
    <font>
      <sz val="10"/>
      <color indexed="16"/>
      <name val="Arial Narrow"/>
      <family val="2"/>
      <charset val="204"/>
    </font>
    <font>
      <i/>
      <sz val="12"/>
      <color indexed="43"/>
      <name val="Arial"/>
      <family val="2"/>
      <charset val="204"/>
    </font>
    <font>
      <sz val="10"/>
      <color indexed="22"/>
      <name val="Arial Narrow"/>
      <family val="2"/>
      <charset val="204"/>
    </font>
    <font>
      <sz val="12"/>
      <color indexed="9"/>
      <name val="Arial Narrow"/>
      <family val="2"/>
      <charset val="204"/>
    </font>
    <font>
      <b/>
      <sz val="10"/>
      <color indexed="10"/>
      <name val="Arial Cyr"/>
      <charset val="204"/>
    </font>
    <font>
      <i/>
      <sz val="14"/>
      <color indexed="44"/>
      <name val="Verdana"/>
      <family val="2"/>
      <charset val="204"/>
    </font>
    <font>
      <sz val="12"/>
      <color indexed="43"/>
      <name val="Arial Narrow"/>
      <family val="2"/>
      <charset val="204"/>
    </font>
    <font>
      <sz val="8"/>
      <color indexed="53"/>
      <name val="Arial Cyr"/>
      <charset val="204"/>
    </font>
    <font>
      <sz val="14"/>
      <color indexed="9"/>
      <name val="Times New Roman"/>
      <family val="1"/>
      <charset val="204"/>
    </font>
    <font>
      <b/>
      <sz val="12"/>
      <color indexed="9"/>
      <name val="Verdana"/>
      <family val="2"/>
      <charset val="204"/>
    </font>
    <font>
      <i/>
      <sz val="14"/>
      <color indexed="9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sz val="12"/>
      <color indexed="42"/>
      <name val="Franklin Gothic Medium"/>
      <family val="2"/>
      <charset val="204"/>
    </font>
    <font>
      <sz val="14"/>
      <name val="Franklin Gothic Medium"/>
      <family val="2"/>
      <charset val="204"/>
    </font>
    <font>
      <b/>
      <sz val="16"/>
      <color indexed="8"/>
      <name val="Verdana"/>
      <family val="2"/>
      <charset val="204"/>
    </font>
    <font>
      <b/>
      <sz val="14"/>
      <color indexed="8"/>
      <name val="Verdana"/>
      <family val="2"/>
      <charset val="204"/>
    </font>
    <font>
      <sz val="12"/>
      <color indexed="8"/>
      <name val="Calibri"/>
      <family val="2"/>
      <charset val="204"/>
    </font>
    <font>
      <sz val="15"/>
      <color indexed="8"/>
      <name val="Arial Narrow"/>
      <family val="2"/>
      <charset val="204"/>
    </font>
    <font>
      <sz val="11"/>
      <name val="Franklin Gothic Medium"/>
      <family val="2"/>
      <charset val="204"/>
    </font>
    <font>
      <sz val="11"/>
      <name val="Arial Narrow"/>
      <family val="2"/>
      <charset val="204"/>
    </font>
    <font>
      <b/>
      <sz val="11"/>
      <name val="Times New Roman"/>
      <family val="1"/>
      <charset val="204"/>
    </font>
    <font>
      <b/>
      <sz val="12"/>
      <color indexed="10"/>
      <name val="Arial"/>
      <family val="2"/>
      <charset val="204"/>
    </font>
    <font>
      <b/>
      <i/>
      <sz val="11"/>
      <color indexed="27"/>
      <name val="Verdana"/>
      <family val="2"/>
      <charset val="204"/>
    </font>
    <font>
      <sz val="9"/>
      <color indexed="81"/>
      <name val="Arial"/>
      <family val="2"/>
      <charset val="204"/>
    </font>
    <font>
      <sz val="8"/>
      <color rgb="FF000000"/>
      <name val="Tahom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  <fill>
      <patternFill patternType="darkGrid">
        <fgColor indexed="22"/>
        <bgColor indexed="13"/>
      </patternFill>
    </fill>
    <fill>
      <patternFill patternType="mediumGray">
        <fgColor indexed="41"/>
        <bgColor indexed="48"/>
      </patternFill>
    </fill>
    <fill>
      <patternFill patternType="solid">
        <fgColor indexed="23"/>
        <bgColor indexed="64"/>
      </patternFill>
    </fill>
    <fill>
      <patternFill patternType="darkGrid">
        <fgColor indexed="22"/>
        <bgColor indexed="57"/>
      </patternFill>
    </fill>
    <fill>
      <patternFill patternType="darkGrid">
        <fgColor indexed="55"/>
        <bgColor indexed="44"/>
      </patternFill>
    </fill>
    <fill>
      <patternFill patternType="solid">
        <fgColor indexed="57"/>
        <bgColor indexed="64"/>
      </patternFill>
    </fill>
    <fill>
      <patternFill patternType="solid">
        <fgColor indexed="63"/>
        <bgColor indexed="64"/>
      </patternFill>
    </fill>
  </fills>
  <borders count="2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hair">
        <color indexed="41"/>
      </bottom>
      <diagonal/>
    </border>
    <border>
      <left/>
      <right/>
      <top style="hair">
        <color indexed="4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 style="hair">
        <color indexed="12"/>
      </top>
      <bottom style="hair">
        <color indexed="12"/>
      </bottom>
      <diagonal/>
    </border>
    <border>
      <left/>
      <right/>
      <top/>
      <bottom style="hair">
        <color indexed="26"/>
      </bottom>
      <diagonal/>
    </border>
    <border>
      <left/>
      <right/>
      <top style="hair">
        <color indexed="13"/>
      </top>
      <bottom style="thin">
        <color indexed="13"/>
      </bottom>
      <diagonal/>
    </border>
    <border>
      <left/>
      <right/>
      <top style="hair">
        <color indexed="1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23"/>
      </right>
      <top style="thin">
        <color indexed="55"/>
      </top>
      <bottom/>
      <diagonal/>
    </border>
    <border>
      <left style="thin">
        <color indexed="22"/>
      </left>
      <right/>
      <top/>
      <bottom style="medium">
        <color indexed="23"/>
      </bottom>
      <diagonal/>
    </border>
    <border>
      <left style="thin">
        <color indexed="22"/>
      </left>
      <right style="thin">
        <color indexed="22"/>
      </right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22"/>
      </left>
      <right style="thin">
        <color indexed="22"/>
      </right>
      <top/>
      <bottom style="thin">
        <color indexed="41"/>
      </bottom>
      <diagonal/>
    </border>
    <border>
      <left/>
      <right/>
      <top/>
      <bottom style="thin">
        <color indexed="41"/>
      </bottom>
      <diagonal/>
    </border>
    <border>
      <left/>
      <right style="medium">
        <color indexed="23"/>
      </right>
      <top/>
      <bottom style="thin">
        <color indexed="41"/>
      </bottom>
      <diagonal/>
    </border>
    <border>
      <left style="thin">
        <color indexed="22"/>
      </left>
      <right style="thin">
        <color indexed="22"/>
      </right>
      <top style="double">
        <color indexed="41"/>
      </top>
      <bottom style="thin">
        <color indexed="18"/>
      </bottom>
      <diagonal/>
    </border>
    <border>
      <left/>
      <right/>
      <top style="double">
        <color indexed="41"/>
      </top>
      <bottom style="thin">
        <color indexed="18"/>
      </bottom>
      <diagonal/>
    </border>
    <border>
      <left/>
      <right style="medium">
        <color indexed="23"/>
      </right>
      <top style="double">
        <color indexed="41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41"/>
      </top>
      <bottom style="thin">
        <color indexed="18"/>
      </bottom>
      <diagonal/>
    </border>
    <border>
      <left/>
      <right/>
      <top style="thin">
        <color indexed="41"/>
      </top>
      <bottom style="thin">
        <color indexed="18"/>
      </bottom>
      <diagonal/>
    </border>
    <border>
      <left/>
      <right style="medium">
        <color indexed="23"/>
      </right>
      <top style="thin">
        <color indexed="41"/>
      </top>
      <bottom style="thin">
        <color indexed="18"/>
      </bottom>
      <diagonal/>
    </border>
    <border>
      <left style="medium">
        <color indexed="23"/>
      </left>
      <right style="thin">
        <color indexed="22"/>
      </right>
      <top style="double">
        <color indexed="41"/>
      </top>
      <bottom style="dotted">
        <color indexed="22"/>
      </bottom>
      <diagonal/>
    </border>
    <border>
      <left style="medium">
        <color indexed="23"/>
      </left>
      <right style="thin">
        <color indexed="22"/>
      </right>
      <top style="dotted">
        <color indexed="22"/>
      </top>
      <bottom style="dotted">
        <color indexed="22"/>
      </bottom>
      <diagonal/>
    </border>
    <border>
      <left style="medium">
        <color indexed="23"/>
      </left>
      <right/>
      <top/>
      <bottom style="hair">
        <color indexed="64"/>
      </bottom>
      <diagonal/>
    </border>
    <border>
      <left style="medium">
        <color indexed="23"/>
      </left>
      <right/>
      <top style="hair">
        <color indexed="64"/>
      </top>
      <bottom style="hair">
        <color indexed="64"/>
      </bottom>
      <diagonal/>
    </border>
    <border>
      <left style="medium">
        <color indexed="23"/>
      </left>
      <right/>
      <top/>
      <bottom style="thin">
        <color indexed="64"/>
      </bottom>
      <diagonal/>
    </border>
    <border>
      <left style="medium">
        <color indexed="23"/>
      </left>
      <right/>
      <top style="thin">
        <color indexed="64"/>
      </top>
      <bottom style="hair">
        <color indexed="64"/>
      </bottom>
      <diagonal/>
    </border>
    <border>
      <left style="medium">
        <color indexed="23"/>
      </left>
      <right/>
      <top style="thin">
        <color indexed="64"/>
      </top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 style="medium">
        <color indexed="55"/>
      </left>
      <right style="medium">
        <color indexed="55"/>
      </right>
      <top/>
      <bottom style="hair">
        <color indexed="64"/>
      </bottom>
      <diagonal/>
    </border>
    <border>
      <left style="medium">
        <color indexed="55"/>
      </left>
      <right style="medium">
        <color indexed="55"/>
      </right>
      <top style="hair">
        <color indexed="64"/>
      </top>
      <bottom style="hair">
        <color indexed="64"/>
      </bottom>
      <diagonal/>
    </border>
    <border>
      <left style="medium">
        <color indexed="55"/>
      </left>
      <right style="medium">
        <color indexed="55"/>
      </right>
      <top/>
      <bottom style="thin">
        <color indexed="64"/>
      </bottom>
      <diagonal/>
    </border>
    <border>
      <left style="medium">
        <color indexed="55"/>
      </left>
      <right style="medium">
        <color indexed="55"/>
      </right>
      <top style="thin">
        <color indexed="64"/>
      </top>
      <bottom style="hair">
        <color indexed="64"/>
      </bottom>
      <diagonal/>
    </border>
    <border>
      <left style="medium">
        <color indexed="55"/>
      </left>
      <right style="medium">
        <color indexed="55"/>
      </right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/>
      <bottom style="medium">
        <color indexed="23"/>
      </bottom>
      <diagonal/>
    </border>
    <border>
      <left/>
      <right style="medium">
        <color indexed="23"/>
      </right>
      <top/>
      <bottom style="hair">
        <color indexed="64"/>
      </bottom>
      <diagonal/>
    </border>
    <border>
      <left/>
      <right style="medium">
        <color indexed="23"/>
      </right>
      <top style="hair">
        <color indexed="64"/>
      </top>
      <bottom style="hair">
        <color indexed="64"/>
      </bottom>
      <diagonal/>
    </border>
    <border>
      <left/>
      <right style="medium">
        <color indexed="23"/>
      </right>
      <top/>
      <bottom style="thin">
        <color indexed="64"/>
      </bottom>
      <diagonal/>
    </border>
    <border>
      <left/>
      <right style="medium">
        <color indexed="23"/>
      </right>
      <top style="thin">
        <color indexed="64"/>
      </top>
      <bottom style="hair">
        <color indexed="64"/>
      </bottom>
      <diagonal/>
    </border>
    <border>
      <left/>
      <right style="medium">
        <color indexed="23"/>
      </right>
      <top style="thin">
        <color indexed="64"/>
      </top>
      <bottom/>
      <diagonal/>
    </border>
    <border>
      <left/>
      <right style="medium">
        <color indexed="55"/>
      </right>
      <top/>
      <bottom style="hair">
        <color indexed="64"/>
      </bottom>
      <diagonal/>
    </border>
    <border>
      <left/>
      <right style="medium">
        <color indexed="55"/>
      </right>
      <top style="hair">
        <color indexed="64"/>
      </top>
      <bottom style="hair">
        <color indexed="64"/>
      </bottom>
      <diagonal/>
    </border>
    <border>
      <left/>
      <right style="medium">
        <color indexed="55"/>
      </right>
      <top/>
      <bottom style="thin">
        <color indexed="64"/>
      </bottom>
      <diagonal/>
    </border>
    <border>
      <left/>
      <right style="medium">
        <color indexed="55"/>
      </right>
      <top style="thin">
        <color indexed="64"/>
      </top>
      <bottom style="hair">
        <color indexed="64"/>
      </bottom>
      <diagonal/>
    </border>
    <border>
      <left/>
      <right style="medium">
        <color indexed="55"/>
      </right>
      <top style="thin">
        <color indexed="64"/>
      </top>
      <bottom/>
      <diagonal/>
    </border>
    <border>
      <left/>
      <right style="medium">
        <color indexed="55"/>
      </right>
      <top/>
      <bottom style="medium">
        <color indexed="23"/>
      </bottom>
      <diagonal/>
    </border>
    <border>
      <left style="medium">
        <color indexed="55"/>
      </left>
      <right style="thin">
        <color indexed="55"/>
      </right>
      <top/>
      <bottom style="hair">
        <color indexed="64"/>
      </bottom>
      <diagonal/>
    </border>
    <border>
      <left style="medium">
        <color indexed="55"/>
      </left>
      <right style="thin">
        <color indexed="55"/>
      </right>
      <top style="hair">
        <color indexed="64"/>
      </top>
      <bottom style="hair">
        <color indexed="64"/>
      </bottom>
      <diagonal/>
    </border>
    <border>
      <left style="medium">
        <color indexed="55"/>
      </left>
      <right style="thin">
        <color indexed="55"/>
      </right>
      <top/>
      <bottom style="thin">
        <color indexed="64"/>
      </bottom>
      <diagonal/>
    </border>
    <border>
      <left style="medium">
        <color indexed="55"/>
      </left>
      <right style="thin">
        <color indexed="55"/>
      </right>
      <top style="thin">
        <color indexed="64"/>
      </top>
      <bottom style="hair">
        <color indexed="64"/>
      </bottom>
      <diagonal/>
    </border>
    <border>
      <left style="medium">
        <color indexed="55"/>
      </left>
      <right style="thin">
        <color indexed="55"/>
      </right>
      <top style="thin">
        <color indexed="64"/>
      </top>
      <bottom/>
      <diagonal/>
    </border>
    <border>
      <left style="medium">
        <color indexed="55"/>
      </left>
      <right style="thin">
        <color indexed="55"/>
      </right>
      <top/>
      <bottom style="medium">
        <color indexed="23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uble">
        <color indexed="55"/>
      </bottom>
      <diagonal/>
    </border>
    <border>
      <left/>
      <right style="medium">
        <color indexed="55"/>
      </right>
      <top/>
      <bottom style="double">
        <color indexed="55"/>
      </bottom>
      <diagonal/>
    </border>
    <border>
      <left style="medium">
        <color indexed="23"/>
      </left>
      <right/>
      <top style="double">
        <color indexed="55"/>
      </top>
      <bottom style="hair">
        <color indexed="64"/>
      </bottom>
      <diagonal/>
    </border>
    <border>
      <left style="medium">
        <color indexed="23"/>
      </left>
      <right/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double">
        <color indexed="23"/>
      </bottom>
      <diagonal/>
    </border>
    <border>
      <left style="medium">
        <color indexed="23"/>
      </left>
      <right/>
      <top style="double">
        <color indexed="27"/>
      </top>
      <bottom style="thin">
        <color indexed="18"/>
      </bottom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 style="thin">
        <color indexed="27"/>
      </top>
      <bottom style="thin">
        <color indexed="18"/>
      </bottom>
      <diagonal/>
    </border>
    <border>
      <left style="medium">
        <color indexed="23"/>
      </left>
      <right/>
      <top style="thin">
        <color indexed="27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double">
        <color indexed="27"/>
      </bottom>
      <diagonal/>
    </border>
    <border>
      <left style="thin">
        <color indexed="22"/>
      </left>
      <right/>
      <top style="thin">
        <color indexed="26"/>
      </top>
      <bottom style="thin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6"/>
      </top>
      <bottom style="thin">
        <color indexed="16"/>
      </bottom>
      <diagonal/>
    </border>
    <border>
      <left/>
      <right/>
      <top style="thin">
        <color indexed="26"/>
      </top>
      <bottom style="thin">
        <color indexed="16"/>
      </bottom>
      <diagonal/>
    </border>
    <border>
      <left/>
      <right style="medium">
        <color indexed="23"/>
      </right>
      <top style="thin">
        <color indexed="26"/>
      </top>
      <bottom style="thin">
        <color indexed="16"/>
      </bottom>
      <diagonal/>
    </border>
    <border>
      <left/>
      <right/>
      <top/>
      <bottom style="hair">
        <color indexed="13"/>
      </bottom>
      <diagonal/>
    </border>
    <border>
      <left style="thin">
        <color indexed="22"/>
      </left>
      <right/>
      <top/>
      <bottom style="thin">
        <color indexed="26"/>
      </bottom>
      <diagonal/>
    </border>
    <border>
      <left style="thin">
        <color indexed="22"/>
      </left>
      <right style="thin">
        <color indexed="22"/>
      </right>
      <top/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 style="medium">
        <color indexed="23"/>
      </right>
      <top/>
      <bottom style="thin">
        <color indexed="26"/>
      </bottom>
      <diagonal/>
    </border>
    <border>
      <left style="medium">
        <color indexed="55"/>
      </left>
      <right style="medium">
        <color indexed="55"/>
      </right>
      <top style="double">
        <color indexed="55"/>
      </top>
      <bottom style="hair">
        <color indexed="64"/>
      </bottom>
      <diagonal/>
    </border>
    <border>
      <left style="medium">
        <color indexed="55"/>
      </left>
      <right style="thin">
        <color indexed="55"/>
      </right>
      <top style="hair">
        <color indexed="64"/>
      </top>
      <bottom style="thin">
        <color indexed="64"/>
      </bottom>
      <diagonal/>
    </border>
    <border>
      <left/>
      <right style="medium">
        <color indexed="55"/>
      </right>
      <top style="hair">
        <color indexed="64"/>
      </top>
      <bottom style="thin">
        <color indexed="64"/>
      </bottom>
      <diagonal/>
    </border>
    <border>
      <left/>
      <right style="medium">
        <color indexed="23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41"/>
      </top>
      <bottom style="double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41"/>
      </top>
      <bottom style="double">
        <color indexed="16"/>
      </bottom>
      <diagonal/>
    </border>
    <border>
      <left/>
      <right style="medium">
        <color indexed="23"/>
      </right>
      <top style="thin">
        <color indexed="41"/>
      </top>
      <bottom style="double">
        <color indexed="16"/>
      </bottom>
      <diagonal/>
    </border>
    <border>
      <left/>
      <right/>
      <top style="double">
        <color indexed="23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double">
        <color indexed="23"/>
      </top>
      <bottom style="thin">
        <color indexed="27"/>
      </bottom>
      <diagonal/>
    </border>
    <border>
      <left/>
      <right/>
      <top style="thin">
        <color indexed="27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7"/>
      </top>
      <bottom style="thin">
        <color indexed="18"/>
      </bottom>
      <diagonal/>
    </border>
    <border>
      <left/>
      <right/>
      <top/>
      <bottom style="thin">
        <color indexed="27"/>
      </bottom>
      <diagonal/>
    </border>
    <border>
      <left style="thin">
        <color indexed="22"/>
      </left>
      <right style="thin">
        <color indexed="22"/>
      </right>
      <top/>
      <bottom style="thin">
        <color indexed="27"/>
      </bottom>
      <diagonal/>
    </border>
    <border>
      <left/>
      <right/>
      <top style="hair">
        <color indexed="26"/>
      </top>
      <bottom style="hair">
        <color indexed="43"/>
      </bottom>
      <diagonal/>
    </border>
    <border>
      <left/>
      <right/>
      <top/>
      <bottom style="hair">
        <color indexed="43"/>
      </bottom>
      <diagonal/>
    </border>
    <border>
      <left style="thin">
        <color indexed="23"/>
      </left>
      <right style="medium">
        <color indexed="55"/>
      </right>
      <top style="thin">
        <color indexed="23"/>
      </top>
      <bottom style="double">
        <color indexed="23"/>
      </bottom>
      <diagonal/>
    </border>
    <border>
      <left style="medium">
        <color indexed="55"/>
      </left>
      <right/>
      <top style="double">
        <color indexed="23"/>
      </top>
      <bottom style="thin">
        <color indexed="27"/>
      </bottom>
      <diagonal/>
    </border>
    <border>
      <left style="thin">
        <color indexed="22"/>
      </left>
      <right style="medium">
        <color indexed="55"/>
      </right>
      <top style="double">
        <color indexed="23"/>
      </top>
      <bottom style="thin">
        <color indexed="27"/>
      </bottom>
      <diagonal/>
    </border>
    <border>
      <left style="medium">
        <color indexed="55"/>
      </left>
      <right/>
      <top style="thin">
        <color indexed="27"/>
      </top>
      <bottom style="thin">
        <color indexed="18"/>
      </bottom>
      <diagonal/>
    </border>
    <border>
      <left style="thin">
        <color indexed="22"/>
      </left>
      <right style="medium">
        <color indexed="55"/>
      </right>
      <top style="thin">
        <color indexed="27"/>
      </top>
      <bottom style="thin">
        <color indexed="18"/>
      </bottom>
      <diagonal/>
    </border>
    <border>
      <left style="medium">
        <color indexed="55"/>
      </left>
      <right/>
      <top/>
      <bottom style="thin">
        <color indexed="27"/>
      </bottom>
      <diagonal/>
    </border>
    <border>
      <left style="thin">
        <color indexed="22"/>
      </left>
      <right style="medium">
        <color indexed="55"/>
      </right>
      <top/>
      <bottom style="thin">
        <color indexed="27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22"/>
      </left>
      <right style="thin">
        <color indexed="22"/>
      </right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22"/>
      </left>
      <right style="medium">
        <color indexed="55"/>
      </right>
      <top/>
      <bottom style="medium">
        <color indexed="55"/>
      </bottom>
      <diagonal/>
    </border>
    <border>
      <left style="thin">
        <color indexed="22"/>
      </left>
      <right style="medium">
        <color indexed="23"/>
      </right>
      <top style="double">
        <color indexed="27"/>
      </top>
      <bottom style="thin">
        <color indexed="18"/>
      </bottom>
      <diagonal/>
    </border>
    <border>
      <left style="thin">
        <color indexed="22"/>
      </left>
      <right style="medium">
        <color indexed="23"/>
      </right>
      <top style="thin">
        <color indexed="18"/>
      </top>
      <bottom style="thin">
        <color indexed="41"/>
      </bottom>
      <diagonal/>
    </border>
    <border>
      <left style="thin">
        <color indexed="22"/>
      </left>
      <right style="medium">
        <color indexed="23"/>
      </right>
      <top style="thin">
        <color indexed="41"/>
      </top>
      <bottom style="thin">
        <color indexed="18"/>
      </bottom>
      <diagonal/>
    </border>
    <border>
      <left/>
      <right/>
      <top style="double">
        <color indexed="27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double">
        <color indexed="27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indexed="27"/>
      </top>
      <bottom style="medium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7"/>
      </top>
      <bottom style="medium">
        <color indexed="23"/>
      </bottom>
      <diagonal/>
    </border>
    <border>
      <left style="thin">
        <color indexed="22"/>
      </left>
      <right style="medium">
        <color indexed="23"/>
      </right>
      <top/>
      <bottom/>
      <diagonal/>
    </border>
    <border>
      <left style="thin">
        <color indexed="22"/>
      </left>
      <right style="medium">
        <color indexed="23"/>
      </right>
      <top style="thin">
        <color indexed="41"/>
      </top>
      <bottom style="medium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1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55"/>
      </left>
      <right style="thin">
        <color indexed="55"/>
      </right>
      <top style="double">
        <color indexed="55"/>
      </top>
      <bottom style="hair">
        <color indexed="64"/>
      </bottom>
      <diagonal/>
    </border>
    <border>
      <left/>
      <right style="medium">
        <color indexed="55"/>
      </right>
      <top style="double">
        <color indexed="55"/>
      </top>
      <bottom style="hair">
        <color indexed="64"/>
      </bottom>
      <diagonal/>
    </border>
    <border>
      <left/>
      <right style="medium">
        <color indexed="23"/>
      </right>
      <top style="double">
        <color indexed="55"/>
      </top>
      <bottom style="hair">
        <color indexed="64"/>
      </bottom>
      <diagonal/>
    </border>
    <border>
      <left style="medium">
        <color indexed="55"/>
      </left>
      <right style="medium">
        <color indexed="55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/>
      <right/>
      <top style="hair">
        <color indexed="26"/>
      </top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/>
      <bottom style="hair">
        <color indexed="9"/>
      </bottom>
      <diagonal/>
    </border>
    <border>
      <left style="medium">
        <color indexed="23"/>
      </left>
      <right/>
      <top/>
      <bottom style="double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23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medium">
        <color indexed="55"/>
      </right>
      <top/>
      <bottom style="double">
        <color indexed="55"/>
      </bottom>
      <diagonal/>
    </border>
    <border>
      <left style="medium">
        <color indexed="55"/>
      </left>
      <right/>
      <top style="medium">
        <color indexed="23"/>
      </top>
      <bottom style="thin">
        <color indexed="55"/>
      </bottom>
      <diagonal/>
    </border>
    <border>
      <left/>
      <right/>
      <top style="medium">
        <color indexed="23"/>
      </top>
      <bottom style="thin">
        <color indexed="55"/>
      </bottom>
      <diagonal/>
    </border>
    <border>
      <left/>
      <right style="medium">
        <color indexed="23"/>
      </right>
      <top style="medium">
        <color indexed="23"/>
      </top>
      <bottom style="thin">
        <color indexed="55"/>
      </bottom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23"/>
      </right>
      <top/>
      <bottom style="double">
        <color indexed="55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ouble">
        <color indexed="9"/>
      </top>
      <bottom style="hair">
        <color indexed="55"/>
      </bottom>
      <diagonal/>
    </border>
    <border>
      <left/>
      <right/>
      <top/>
      <bottom style="thin">
        <color indexed="31"/>
      </bottom>
      <diagonal/>
    </border>
    <border>
      <left style="medium">
        <color indexed="23"/>
      </left>
      <right style="thin">
        <color indexed="23"/>
      </right>
      <top style="thin">
        <color indexed="18"/>
      </top>
      <bottom style="thin">
        <color indexed="41"/>
      </bottom>
      <diagonal/>
    </border>
    <border>
      <left style="thin">
        <color indexed="23"/>
      </left>
      <right style="thin">
        <color indexed="23"/>
      </right>
      <top style="thin">
        <color indexed="18"/>
      </top>
      <bottom style="thin">
        <color indexed="41"/>
      </bottom>
      <diagonal/>
    </border>
    <border>
      <left style="thin">
        <color indexed="23"/>
      </left>
      <right/>
      <top style="thin">
        <color indexed="18"/>
      </top>
      <bottom style="thin">
        <color indexed="41"/>
      </bottom>
      <diagonal/>
    </border>
    <border>
      <left style="medium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/>
      <top/>
      <bottom style="medium">
        <color indexed="23"/>
      </bottom>
      <diagonal/>
    </border>
    <border>
      <left/>
      <right/>
      <top/>
      <bottom style="hair">
        <color indexed="31"/>
      </bottom>
      <diagonal/>
    </border>
    <border>
      <left/>
      <right style="thin">
        <color indexed="23"/>
      </right>
      <top style="thin">
        <color indexed="18"/>
      </top>
      <bottom style="thin">
        <color indexed="41"/>
      </bottom>
      <diagonal/>
    </border>
    <border>
      <left style="thin">
        <color indexed="22"/>
      </left>
      <right style="thin">
        <color indexed="23"/>
      </right>
      <top style="thin">
        <color indexed="18"/>
      </top>
      <bottom style="thin">
        <color indexed="41"/>
      </bottom>
      <diagonal/>
    </border>
    <border>
      <left style="thin">
        <color indexed="23"/>
      </left>
      <right style="thin">
        <color indexed="22"/>
      </right>
      <top style="thin">
        <color indexed="18"/>
      </top>
      <bottom style="thin">
        <color indexed="41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23"/>
      </left>
      <right style="thin">
        <color indexed="23"/>
      </right>
      <top style="thin">
        <color indexed="41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41"/>
      </top>
      <bottom style="thin">
        <color indexed="18"/>
      </bottom>
      <diagonal/>
    </border>
    <border>
      <left style="thin">
        <color indexed="23"/>
      </left>
      <right/>
      <top style="thin">
        <color indexed="41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/>
      <bottom style="thin">
        <color indexed="41"/>
      </bottom>
      <diagonal/>
    </border>
    <border>
      <left style="thin">
        <color indexed="23"/>
      </left>
      <right style="thin">
        <color indexed="23"/>
      </right>
      <top/>
      <bottom style="thin">
        <color indexed="41"/>
      </bottom>
      <diagonal/>
    </border>
    <border>
      <left style="thin">
        <color indexed="23"/>
      </left>
      <right/>
      <top/>
      <bottom style="thin">
        <color indexed="41"/>
      </bottom>
      <diagonal/>
    </border>
    <border>
      <left style="thin">
        <color indexed="22"/>
      </left>
      <right style="thin">
        <color indexed="23"/>
      </right>
      <top style="thin">
        <color indexed="41"/>
      </top>
      <bottom style="thin">
        <color indexed="18"/>
      </bottom>
      <diagonal/>
    </border>
    <border>
      <left style="thin">
        <color indexed="23"/>
      </left>
      <right style="thin">
        <color indexed="22"/>
      </right>
      <top style="thin">
        <color indexed="41"/>
      </top>
      <bottom style="thin">
        <color indexed="18"/>
      </bottom>
      <diagonal/>
    </border>
    <border>
      <left/>
      <right style="thin">
        <color indexed="23"/>
      </right>
      <top style="thin">
        <color indexed="41"/>
      </top>
      <bottom style="thin">
        <color indexed="18"/>
      </bottom>
      <diagonal/>
    </border>
    <border>
      <left style="thin">
        <color indexed="23"/>
      </left>
      <right style="medium">
        <color indexed="23"/>
      </right>
      <top style="thin">
        <color indexed="41"/>
      </top>
      <bottom style="thin">
        <color indexed="18"/>
      </bottom>
      <diagonal/>
    </border>
    <border>
      <left style="thin">
        <color indexed="22"/>
      </left>
      <right style="thin">
        <color indexed="23"/>
      </right>
      <top/>
      <bottom style="thin">
        <color indexed="41"/>
      </bottom>
      <diagonal/>
    </border>
    <border>
      <left style="thin">
        <color indexed="23"/>
      </left>
      <right style="thin">
        <color indexed="22"/>
      </right>
      <top/>
      <bottom style="thin">
        <color indexed="41"/>
      </bottom>
      <diagonal/>
    </border>
    <border>
      <left/>
      <right style="thin">
        <color indexed="23"/>
      </right>
      <top/>
      <bottom style="thin">
        <color indexed="41"/>
      </bottom>
      <diagonal/>
    </border>
    <border>
      <left style="thin">
        <color indexed="23"/>
      </left>
      <right style="medium">
        <color indexed="23"/>
      </right>
      <top/>
      <bottom style="thin">
        <color indexed="41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18"/>
      </top>
      <bottom style="thin">
        <color indexed="41"/>
      </bottom>
      <diagonal/>
    </border>
    <border>
      <left/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/>
      <top/>
      <bottom style="double">
        <color indexed="9"/>
      </bottom>
      <diagonal/>
    </border>
    <border>
      <left style="thin">
        <color indexed="22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thin">
        <color indexed="22"/>
      </right>
      <top/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 style="thin">
        <color indexed="41"/>
      </bottom>
      <diagonal/>
    </border>
    <border>
      <left/>
      <right/>
      <top style="medium">
        <color indexed="23"/>
      </top>
      <bottom style="thin">
        <color indexed="41"/>
      </bottom>
      <diagonal/>
    </border>
    <border>
      <left/>
      <right style="thin">
        <color indexed="22"/>
      </right>
      <top style="medium">
        <color indexed="23"/>
      </top>
      <bottom style="thin">
        <color indexed="41"/>
      </bottom>
      <diagonal/>
    </border>
    <border>
      <left style="thin">
        <color indexed="22"/>
      </left>
      <right style="thin">
        <color indexed="23"/>
      </right>
      <top style="medium">
        <color indexed="23"/>
      </top>
      <bottom style="thin">
        <color indexed="41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41"/>
      </bottom>
      <diagonal/>
    </border>
    <border>
      <left style="thin">
        <color indexed="23"/>
      </left>
      <right style="thin">
        <color indexed="22"/>
      </right>
      <top style="medium">
        <color indexed="23"/>
      </top>
      <bottom style="thin">
        <color indexed="41"/>
      </bottom>
      <diagonal/>
    </border>
    <border>
      <left/>
      <right style="thin">
        <color indexed="23"/>
      </right>
      <top style="medium">
        <color indexed="23"/>
      </top>
      <bottom style="thin">
        <color indexed="41"/>
      </bottom>
      <diagonal/>
    </border>
    <border>
      <left style="thin">
        <color indexed="23"/>
      </left>
      <right/>
      <top style="medium">
        <color indexed="23"/>
      </top>
      <bottom style="thin">
        <color indexed="41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41"/>
      </bottom>
      <diagonal/>
    </border>
    <border>
      <left style="medium">
        <color indexed="23"/>
      </left>
      <right style="thin">
        <color indexed="22"/>
      </right>
      <top/>
      <bottom style="thin">
        <color indexed="55"/>
      </bottom>
      <diagonal/>
    </border>
    <border>
      <left style="medium">
        <color indexed="23"/>
      </left>
      <right style="thin">
        <color indexed="22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2"/>
      </right>
      <top style="thin">
        <color indexed="55"/>
      </top>
      <bottom/>
      <diagonal/>
    </border>
    <border>
      <left style="medium">
        <color indexed="23"/>
      </left>
      <right style="thin">
        <color indexed="55"/>
      </right>
      <top/>
      <bottom style="medium">
        <color indexed="23"/>
      </bottom>
      <diagonal/>
    </border>
    <border>
      <left style="thin">
        <color indexed="55"/>
      </left>
      <right/>
      <top/>
      <bottom style="medium">
        <color indexed="23"/>
      </bottom>
      <diagonal/>
    </border>
    <border>
      <left style="medium">
        <color indexed="23"/>
      </left>
      <right style="thin">
        <color indexed="55"/>
      </right>
      <top style="thin">
        <color indexed="26"/>
      </top>
      <bottom style="thin">
        <color indexed="16"/>
      </bottom>
      <diagonal/>
    </border>
    <border>
      <left style="thin">
        <color indexed="55"/>
      </left>
      <right/>
      <top style="thin">
        <color indexed="26"/>
      </top>
      <bottom style="thin">
        <color indexed="16"/>
      </bottom>
      <diagonal/>
    </border>
    <border>
      <left style="medium">
        <color indexed="23"/>
      </left>
      <right style="thin">
        <color indexed="55"/>
      </right>
      <top style="medium">
        <color indexed="23"/>
      </top>
      <bottom style="thin">
        <color indexed="55"/>
      </bottom>
      <diagonal/>
    </border>
    <border>
      <left style="medium">
        <color indexed="23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23"/>
      </top>
      <bottom style="thin">
        <color indexed="55"/>
      </bottom>
      <diagonal/>
    </border>
    <border>
      <left style="thin">
        <color indexed="55"/>
      </left>
      <right style="medium">
        <color indexed="23"/>
      </right>
      <top style="medium">
        <color indexed="23"/>
      </top>
      <bottom style="thin">
        <color indexed="55"/>
      </bottom>
      <diagonal/>
    </border>
    <border>
      <left style="medium">
        <color indexed="23"/>
      </left>
      <right style="thin">
        <color indexed="55"/>
      </right>
      <top/>
      <bottom style="thin">
        <color indexed="26"/>
      </bottom>
      <diagonal/>
    </border>
    <border>
      <left style="thin">
        <color indexed="55"/>
      </left>
      <right/>
      <top/>
      <bottom style="thin">
        <color indexed="26"/>
      </bottom>
      <diagonal/>
    </border>
    <border>
      <left/>
      <right/>
      <top style="hair">
        <color indexed="13"/>
      </top>
      <bottom style="hair">
        <color indexed="13"/>
      </bottom>
      <diagonal/>
    </border>
    <border>
      <left style="medium">
        <color indexed="23"/>
      </left>
      <right style="thin">
        <color indexed="55"/>
      </right>
      <top/>
      <bottom style="double">
        <color indexed="16"/>
      </bottom>
      <diagonal/>
    </border>
    <border>
      <left style="thin">
        <color indexed="55"/>
      </left>
      <right style="thin">
        <color indexed="22"/>
      </right>
      <top/>
      <bottom style="double">
        <color indexed="16"/>
      </bottom>
      <diagonal/>
    </border>
    <border>
      <left style="medium">
        <color indexed="55"/>
      </left>
      <right style="thin">
        <color indexed="23"/>
      </right>
      <top style="medium">
        <color indexed="55"/>
      </top>
      <bottom style="thin">
        <color indexed="23"/>
      </bottom>
      <diagonal/>
    </border>
    <border>
      <left style="medium">
        <color indexed="55"/>
      </left>
      <right style="thin">
        <color indexed="23"/>
      </right>
      <top style="thin">
        <color indexed="23"/>
      </top>
      <bottom style="double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55"/>
      </top>
      <bottom style="thin">
        <color indexed="23"/>
      </bottom>
      <diagonal/>
    </border>
    <border>
      <left style="thin">
        <color indexed="23"/>
      </left>
      <right style="medium">
        <color indexed="55"/>
      </right>
      <top style="medium">
        <color indexed="55"/>
      </top>
      <bottom style="thin">
        <color indexed="23"/>
      </bottom>
      <diagonal/>
    </border>
    <border>
      <left/>
      <right/>
      <top style="thick">
        <color indexed="13"/>
      </top>
      <bottom style="thick">
        <color indexed="1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double">
        <color indexed="27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double">
        <color indexed="27"/>
      </bottom>
      <diagonal/>
    </border>
  </borders>
  <cellStyleXfs count="3">
    <xf numFmtId="0" fontId="0" fillId="0" borderId="0"/>
    <xf numFmtId="0" fontId="12" fillId="0" borderId="0"/>
    <xf numFmtId="0" fontId="46" fillId="0" borderId="0"/>
  </cellStyleXfs>
  <cellXfs count="645">
    <xf numFmtId="0" fontId="0" fillId="0" borderId="0" xfId="0"/>
    <xf numFmtId="0" fontId="0" fillId="0" borderId="0" xfId="0" applyProtection="1"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4" fillId="0" borderId="0" xfId="0" applyNumberFormat="1" applyFont="1" applyAlignment="1" applyProtection="1">
      <alignment horizontal="center" vertical="center" wrapText="1"/>
      <protection locked="0"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49" fontId="2" fillId="2" borderId="0" xfId="0" applyNumberFormat="1" applyFont="1" applyFill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 shrinkToFit="1"/>
      <protection locked="0"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 wrapText="1"/>
      <protection locked="0"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32" fillId="3" borderId="0" xfId="0" applyFont="1" applyFill="1" applyAlignment="1" applyProtection="1">
      <alignment wrapText="1"/>
      <protection hidden="1"/>
    </xf>
    <xf numFmtId="0" fontId="25" fillId="3" borderId="0" xfId="0" applyFont="1" applyFill="1" applyAlignment="1" applyProtection="1">
      <alignment horizontal="right" wrapText="1"/>
      <protection hidden="1"/>
    </xf>
    <xf numFmtId="0" fontId="39" fillId="2" borderId="0" xfId="0" applyFont="1" applyFill="1" applyBorder="1" applyAlignment="1" applyProtection="1">
      <alignment vertical="center" wrapText="1"/>
      <protection hidden="1"/>
    </xf>
    <xf numFmtId="0" fontId="9" fillId="2" borderId="0" xfId="0" applyFont="1" applyFill="1" applyAlignment="1" applyProtection="1">
      <alignment horizontal="right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0" fontId="13" fillId="4" borderId="0" xfId="0" applyFont="1" applyFill="1" applyAlignment="1" applyProtection="1">
      <alignment horizontal="right" wrapText="1"/>
      <protection hidden="1"/>
    </xf>
    <xf numFmtId="164" fontId="28" fillId="4" borderId="0" xfId="0" applyNumberFormat="1" applyFont="1" applyFill="1" applyBorder="1" applyAlignment="1" applyProtection="1">
      <alignment wrapText="1"/>
      <protection hidden="1"/>
    </xf>
    <xf numFmtId="0" fontId="19" fillId="4" borderId="0" xfId="0" applyFont="1" applyFill="1" applyAlignment="1" applyProtection="1">
      <alignment horizontal="center" vertical="center" wrapText="1"/>
      <protection hidden="1"/>
    </xf>
    <xf numFmtId="0" fontId="13" fillId="4" borderId="0" xfId="0" applyFont="1" applyFill="1" applyAlignment="1" applyProtection="1">
      <alignment horizontal="right" vertical="center" wrapText="1"/>
      <protection hidden="1"/>
    </xf>
    <xf numFmtId="3" fontId="21" fillId="0" borderId="0" xfId="0" applyNumberFormat="1" applyFont="1" applyAlignment="1" applyProtection="1">
      <alignment horizontal="center" vertical="center" wrapText="1"/>
      <protection locked="0" hidden="1"/>
    </xf>
    <xf numFmtId="3" fontId="14" fillId="0" borderId="0" xfId="0" applyNumberFormat="1" applyFont="1" applyAlignment="1" applyProtection="1">
      <alignment horizontal="center" vertical="center" wrapText="1"/>
      <protection locked="0" hidden="1"/>
    </xf>
    <xf numFmtId="0" fontId="26" fillId="4" borderId="0" xfId="0" applyFont="1" applyFill="1" applyBorder="1" applyAlignment="1" applyProtection="1">
      <alignment horizontal="left"/>
      <protection hidden="1"/>
    </xf>
    <xf numFmtId="0" fontId="3" fillId="0" borderId="0" xfId="0" applyFont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horizontal="center" vertical="center" wrapText="1"/>
      <protection locked="0" hidden="1"/>
    </xf>
    <xf numFmtId="0" fontId="21" fillId="0" borderId="0" xfId="0" applyFont="1" applyAlignment="1" applyProtection="1">
      <alignment horizontal="center" vertical="center" wrapText="1"/>
      <protection locked="0" hidden="1"/>
    </xf>
    <xf numFmtId="0" fontId="24" fillId="0" borderId="0" xfId="0" applyFont="1" applyAlignment="1" applyProtection="1">
      <alignment horizontal="center" vertical="center" wrapText="1"/>
      <protection locked="0" hidden="1"/>
    </xf>
    <xf numFmtId="0" fontId="13" fillId="0" borderId="0" xfId="0" applyFont="1" applyAlignment="1" applyProtection="1">
      <alignment horizontal="center" vertical="center" wrapText="1"/>
      <protection locked="0" hidden="1"/>
    </xf>
    <xf numFmtId="0" fontId="16" fillId="0" borderId="0" xfId="0" applyFont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horizontal="center" vertical="center" wrapText="1"/>
      <protection locked="0" hidden="1"/>
    </xf>
    <xf numFmtId="0" fontId="42" fillId="0" borderId="0" xfId="0" applyFont="1" applyAlignment="1" applyProtection="1">
      <alignment horizontal="center" vertical="center" wrapText="1"/>
      <protection locked="0" hidden="1"/>
    </xf>
    <xf numFmtId="3" fontId="43" fillId="0" borderId="0" xfId="0" applyNumberFormat="1" applyFont="1" applyAlignment="1" applyProtection="1">
      <alignment horizontal="center" vertical="center" wrapText="1"/>
      <protection locked="0" hidden="1"/>
    </xf>
    <xf numFmtId="3" fontId="2" fillId="0" borderId="0" xfId="0" applyNumberFormat="1" applyFont="1" applyAlignment="1" applyProtection="1">
      <alignment horizontal="center" vertical="center" wrapText="1"/>
      <protection locked="0" hidden="1"/>
    </xf>
    <xf numFmtId="3" fontId="3" fillId="0" borderId="0" xfId="0" applyNumberFormat="1" applyFont="1" applyAlignment="1" applyProtection="1">
      <alignment horizontal="center" vertical="center" wrapText="1"/>
      <protection locked="0" hidden="1"/>
    </xf>
    <xf numFmtId="0" fontId="9" fillId="0" borderId="0" xfId="2" applyFont="1" applyProtection="1">
      <protection hidden="1"/>
    </xf>
    <xf numFmtId="0" fontId="47" fillId="0" borderId="0" xfId="2" applyFont="1" applyAlignment="1" applyProtection="1">
      <alignment horizontal="center"/>
      <protection hidden="1"/>
    </xf>
    <xf numFmtId="0" fontId="9" fillId="0" borderId="0" xfId="2" applyFont="1" applyAlignment="1" applyProtection="1">
      <alignment vertical="top"/>
      <protection hidden="1"/>
    </xf>
    <xf numFmtId="0" fontId="0" fillId="0" borderId="0" xfId="0" applyAlignment="1" applyProtection="1">
      <alignment wrapText="1"/>
      <protection hidden="1"/>
    </xf>
    <xf numFmtId="0" fontId="0" fillId="2" borderId="0" xfId="0" applyFill="1" applyAlignment="1" applyProtection="1">
      <alignment wrapText="1"/>
      <protection hidden="1"/>
    </xf>
    <xf numFmtId="0" fontId="3" fillId="0" borderId="0" xfId="0" applyNumberFormat="1" applyFont="1" applyAlignment="1" applyProtection="1">
      <alignment horizontal="center" vertical="top" shrinkToFit="1"/>
      <protection locked="0" hidden="1"/>
    </xf>
    <xf numFmtId="14" fontId="14" fillId="0" borderId="0" xfId="0" applyNumberFormat="1" applyFont="1" applyAlignment="1" applyProtection="1">
      <alignment horizontal="center" vertical="center" wrapText="1"/>
      <protection locked="0" hidden="1"/>
    </xf>
    <xf numFmtId="164" fontId="28" fillId="4" borderId="2" xfId="0" applyNumberFormat="1" applyFont="1" applyFill="1" applyBorder="1" applyAlignment="1" applyProtection="1">
      <alignment horizontal="left" wrapText="1"/>
      <protection hidden="1"/>
    </xf>
    <xf numFmtId="0" fontId="63" fillId="0" borderId="0" xfId="0" applyFont="1" applyAlignment="1" applyProtection="1">
      <alignment horizontal="center" vertical="center" wrapText="1"/>
      <protection locked="0" hidden="1"/>
    </xf>
    <xf numFmtId="0" fontId="64" fillId="0" borderId="0" xfId="0" applyFont="1" applyAlignment="1" applyProtection="1">
      <alignment horizontal="center" vertical="center" wrapText="1"/>
      <protection locked="0" hidden="1"/>
    </xf>
    <xf numFmtId="3" fontId="66" fillId="0" borderId="0" xfId="0" applyNumberFormat="1" applyFont="1" applyAlignment="1" applyProtection="1">
      <alignment horizontal="center" vertical="center" wrapText="1"/>
      <protection locked="0" hidden="1"/>
    </xf>
    <xf numFmtId="0" fontId="66" fillId="0" borderId="0" xfId="0" applyFont="1" applyAlignment="1" applyProtection="1">
      <alignment vertical="center" wrapText="1"/>
      <protection locked="0" hidden="1"/>
    </xf>
    <xf numFmtId="0" fontId="0" fillId="0" borderId="0" xfId="0" applyAlignment="1" applyProtection="1">
      <alignment shrinkToFit="1"/>
      <protection hidden="1"/>
    </xf>
    <xf numFmtId="0" fontId="68" fillId="2" borderId="0" xfId="0" applyFont="1" applyFill="1" applyAlignment="1" applyProtection="1">
      <alignment horizontal="center" vertical="center" wrapText="1"/>
      <protection hidden="1"/>
    </xf>
    <xf numFmtId="0" fontId="70" fillId="2" borderId="0" xfId="0" applyFont="1" applyFill="1" applyAlignment="1" applyProtection="1">
      <alignment horizontal="right" wrapText="1"/>
      <protection hidden="1"/>
    </xf>
    <xf numFmtId="0" fontId="28" fillId="2" borderId="0" xfId="0" applyFont="1" applyFill="1" applyAlignment="1" applyProtection="1">
      <alignment horizontal="right" wrapText="1"/>
      <protection hidden="1"/>
    </xf>
    <xf numFmtId="0" fontId="27" fillId="5" borderId="0" xfId="2" applyFont="1" applyFill="1" applyBorder="1" applyAlignment="1" applyProtection="1">
      <alignment horizontal="center"/>
      <protection locked="0" hidden="1"/>
    </xf>
    <xf numFmtId="0" fontId="76" fillId="6" borderId="0" xfId="2" applyFont="1" applyFill="1" applyBorder="1" applyAlignment="1" applyProtection="1">
      <protection hidden="1"/>
    </xf>
    <xf numFmtId="167" fontId="79" fillId="0" borderId="0" xfId="0" applyNumberFormat="1" applyFont="1" applyAlignment="1" applyProtection="1">
      <alignment horizontal="center" vertical="center" shrinkToFit="1"/>
      <protection hidden="1"/>
    </xf>
    <xf numFmtId="0" fontId="80" fillId="0" borderId="0" xfId="0" applyFont="1" applyAlignment="1" applyProtection="1">
      <alignment horizontal="right" vertical="center" wrapText="1"/>
      <protection hidden="1"/>
    </xf>
    <xf numFmtId="49" fontId="14" fillId="0" borderId="0" xfId="0" applyNumberFormat="1" applyFont="1" applyAlignment="1" applyProtection="1">
      <alignment horizontal="center" vertical="center" shrinkToFit="1"/>
      <protection locked="0" hidden="1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shrinkToFit="1"/>
      <protection hidden="1"/>
    </xf>
    <xf numFmtId="0" fontId="2" fillId="0" borderId="0" xfId="0" applyNumberFormat="1" applyFont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horizontal="center" vertical="center" shrinkToFit="1"/>
      <protection locked="0" hidden="1"/>
    </xf>
    <xf numFmtId="0" fontId="5" fillId="7" borderId="0" xfId="0" applyFont="1" applyFill="1" applyBorder="1" applyAlignment="1" applyProtection="1">
      <alignment horizontal="center" wrapText="1"/>
      <protection hidden="1"/>
    </xf>
    <xf numFmtId="0" fontId="59" fillId="8" borderId="0" xfId="0" applyFont="1" applyFill="1" applyAlignment="1" applyProtection="1">
      <alignment horizontal="left" wrapText="1"/>
      <protection hidden="1"/>
    </xf>
    <xf numFmtId="0" fontId="59" fillId="8" borderId="0" xfId="0" applyFont="1" applyFill="1" applyAlignment="1" applyProtection="1">
      <alignment wrapText="1"/>
      <protection hidden="1"/>
    </xf>
    <xf numFmtId="0" fontId="0" fillId="8" borderId="0" xfId="0" applyFill="1" applyAlignment="1" applyProtection="1">
      <alignment wrapText="1"/>
      <protection hidden="1"/>
    </xf>
    <xf numFmtId="0" fontId="45" fillId="0" borderId="0" xfId="0" applyFont="1" applyBorder="1" applyAlignment="1" applyProtection="1">
      <protection hidden="1"/>
    </xf>
    <xf numFmtId="0" fontId="45" fillId="0" borderId="0" xfId="0" applyFont="1" applyAlignment="1" applyProtection="1">
      <protection hidden="1"/>
    </xf>
    <xf numFmtId="0" fontId="0" fillId="2" borderId="0" xfId="0" applyFill="1" applyAlignment="1" applyProtection="1">
      <alignment horizontal="left" wrapText="1"/>
      <protection hidden="1"/>
    </xf>
    <xf numFmtId="0" fontId="82" fillId="4" borderId="3" xfId="0" applyFont="1" applyFill="1" applyBorder="1" applyAlignment="1" applyProtection="1">
      <alignment horizontal="center" vertical="top" wrapText="1"/>
      <protection hidden="1"/>
    </xf>
    <xf numFmtId="49" fontId="0" fillId="0" borderId="0" xfId="0" applyNumberFormat="1" applyAlignment="1" applyProtection="1">
      <alignment horizontal="left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0" fillId="8" borderId="0" xfId="0" applyFill="1" applyAlignment="1" applyProtection="1">
      <alignment horizontal="center" shrinkToFit="1"/>
      <protection hidden="1"/>
    </xf>
    <xf numFmtId="3" fontId="100" fillId="0" borderId="0" xfId="0" applyNumberFormat="1" applyFont="1" applyAlignment="1" applyProtection="1">
      <alignment horizontal="center" shrinkToFit="1"/>
      <protection hidden="1"/>
    </xf>
    <xf numFmtId="0" fontId="100" fillId="0" borderId="0" xfId="0" applyFont="1" applyAlignment="1" applyProtection="1">
      <alignment horizontal="center" shrinkToFit="1"/>
      <protection hidden="1"/>
    </xf>
    <xf numFmtId="14" fontId="4" fillId="0" borderId="0" xfId="0" applyNumberFormat="1" applyFont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horizontal="center" vertical="center" shrinkToFit="1"/>
      <protection locked="0" hidden="1"/>
    </xf>
    <xf numFmtId="2" fontId="2" fillId="0" borderId="0" xfId="0" applyNumberFormat="1" applyFont="1" applyAlignment="1" applyProtection="1">
      <alignment horizontal="center" vertical="center" shrinkToFit="1"/>
      <protection locked="0" hidden="1"/>
    </xf>
    <xf numFmtId="167" fontId="42" fillId="0" borderId="0" xfId="0" applyNumberFormat="1" applyFont="1" applyAlignment="1" applyProtection="1">
      <alignment horizontal="center" vertical="center" wrapText="1"/>
      <protection locked="0" hidden="1"/>
    </xf>
    <xf numFmtId="0" fontId="69" fillId="9" borderId="4" xfId="0" applyFont="1" applyFill="1" applyBorder="1" applyAlignment="1">
      <alignment vertical="center" wrapText="1"/>
    </xf>
    <xf numFmtId="43" fontId="69" fillId="9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69" fillId="9" borderId="6" xfId="0" applyFont="1" applyFill="1" applyBorder="1" applyAlignment="1">
      <alignment vertical="center" wrapText="1"/>
    </xf>
    <xf numFmtId="43" fontId="69" fillId="9" borderId="7" xfId="0" applyNumberFormat="1" applyFont="1" applyFill="1" applyBorder="1" applyAlignment="1" applyProtection="1">
      <alignment horizontal="center" vertical="center" shrinkToFit="1"/>
      <protection locked="0" hidden="1"/>
    </xf>
    <xf numFmtId="0" fontId="69" fillId="9" borderId="8" xfId="0" applyFont="1" applyFill="1" applyBorder="1" applyAlignment="1">
      <alignment vertical="center" wrapText="1"/>
    </xf>
    <xf numFmtId="43" fontId="69" fillId="9" borderId="9" xfId="0" applyNumberFormat="1" applyFont="1" applyFill="1" applyBorder="1" applyAlignment="1" applyProtection="1">
      <alignment horizontal="center" vertical="center" shrinkToFit="1"/>
      <protection locked="0" hidden="1"/>
    </xf>
    <xf numFmtId="0" fontId="72" fillId="9" borderId="8" xfId="0" applyFont="1" applyFill="1" applyBorder="1" applyAlignment="1">
      <alignment vertical="center" wrapText="1"/>
    </xf>
    <xf numFmtId="166" fontId="75" fillId="9" borderId="9" xfId="0" applyNumberFormat="1" applyFont="1" applyFill="1" applyBorder="1" applyAlignment="1" applyProtection="1">
      <alignment horizontal="center" vertical="center" shrinkToFit="1"/>
      <protection locked="0" hidden="1"/>
    </xf>
    <xf numFmtId="0" fontId="71" fillId="8" borderId="10" xfId="0" applyFont="1" applyFill="1" applyBorder="1" applyAlignment="1" applyProtection="1">
      <alignment horizontal="center" vertical="center"/>
      <protection hidden="1"/>
    </xf>
    <xf numFmtId="0" fontId="71" fillId="8" borderId="11" xfId="0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Alignment="1" applyProtection="1">
      <alignment horizontal="left" wrapText="1"/>
      <protection hidden="1"/>
    </xf>
    <xf numFmtId="0" fontId="59" fillId="2" borderId="0" xfId="0" applyFont="1" applyFill="1" applyAlignment="1" applyProtection="1">
      <alignment wrapText="1"/>
      <protection hidden="1"/>
    </xf>
    <xf numFmtId="0" fontId="0" fillId="2" borderId="0" xfId="0" applyFill="1" applyProtection="1">
      <protection hidden="1"/>
    </xf>
    <xf numFmtId="0" fontId="45" fillId="2" borderId="0" xfId="0" applyFont="1" applyFill="1" applyBorder="1" applyAlignment="1" applyProtection="1">
      <alignment shrinkToFit="1"/>
      <protection hidden="1"/>
    </xf>
    <xf numFmtId="0" fontId="45" fillId="2" borderId="0" xfId="0" applyFont="1" applyFill="1" applyAlignment="1" applyProtection="1">
      <alignment shrinkToFit="1"/>
      <protection hidden="1"/>
    </xf>
    <xf numFmtId="0" fontId="57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66" fillId="2" borderId="0" xfId="0" applyFont="1" applyFill="1" applyAlignment="1" applyProtection="1">
      <alignment vertical="center" wrapText="1"/>
      <protection hidden="1"/>
    </xf>
    <xf numFmtId="3" fontId="0" fillId="0" borderId="0" xfId="0" applyNumberFormat="1" applyAlignment="1" applyProtection="1">
      <alignment horizontal="center" shrinkToFit="1"/>
      <protection locked="0" hidden="1"/>
    </xf>
    <xf numFmtId="0" fontId="105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locked="0" hidden="1"/>
    </xf>
    <xf numFmtId="3" fontId="98" fillId="4" borderId="12" xfId="0" applyNumberFormat="1" applyFont="1" applyFill="1" applyBorder="1" applyAlignment="1" applyProtection="1">
      <alignment horizontal="center" wrapText="1"/>
      <protection locked="0" hidden="1"/>
    </xf>
    <xf numFmtId="3" fontId="98" fillId="4" borderId="13" xfId="0" applyNumberFormat="1" applyFont="1" applyFill="1" applyBorder="1" applyAlignment="1" applyProtection="1">
      <alignment horizontal="center" wrapText="1"/>
      <protection locked="0" hidden="1"/>
    </xf>
    <xf numFmtId="0" fontId="107" fillId="0" borderId="0" xfId="2" applyFont="1" applyProtection="1">
      <protection locked="0" hidden="1"/>
    </xf>
    <xf numFmtId="0" fontId="107" fillId="0" borderId="0" xfId="0" applyFont="1" applyAlignment="1" applyProtection="1">
      <alignment horizontal="left"/>
      <protection hidden="1"/>
    </xf>
    <xf numFmtId="0" fontId="107" fillId="0" borderId="0" xfId="2" applyFont="1" applyProtection="1">
      <protection hidden="1"/>
    </xf>
    <xf numFmtId="0" fontId="107" fillId="0" borderId="0" xfId="2" applyFont="1" applyAlignment="1" applyProtection="1">
      <alignment horizontal="center"/>
      <protection locked="0" hidden="1"/>
    </xf>
    <xf numFmtId="0" fontId="107" fillId="0" borderId="0" xfId="2" applyFont="1" applyAlignment="1" applyProtection="1">
      <alignment horizontal="center"/>
      <protection hidden="1"/>
    </xf>
    <xf numFmtId="0" fontId="107" fillId="0" borderId="0" xfId="2" applyFont="1" applyFill="1" applyProtection="1">
      <protection hidden="1"/>
    </xf>
    <xf numFmtId="0" fontId="107" fillId="0" borderId="0" xfId="0" applyFont="1" applyAlignment="1" applyProtection="1">
      <alignment horizontal="left" shrinkToFit="1"/>
      <protection locked="0" hidden="1"/>
    </xf>
    <xf numFmtId="0" fontId="107" fillId="0" borderId="0" xfId="2" applyFont="1" applyAlignment="1" applyProtection="1">
      <alignment vertical="top"/>
      <protection hidden="1"/>
    </xf>
    <xf numFmtId="0" fontId="9" fillId="5" borderId="0" xfId="2" applyFont="1" applyFill="1" applyBorder="1" applyProtection="1">
      <protection hidden="1"/>
    </xf>
    <xf numFmtId="1" fontId="27" fillId="6" borderId="0" xfId="2" applyNumberFormat="1" applyFont="1" applyFill="1" applyBorder="1" applyAlignment="1" applyProtection="1">
      <protection hidden="1"/>
    </xf>
    <xf numFmtId="0" fontId="84" fillId="8" borderId="0" xfId="2" applyFont="1" applyFill="1" applyBorder="1" applyAlignment="1" applyProtection="1">
      <alignment vertical="top"/>
      <protection hidden="1"/>
    </xf>
    <xf numFmtId="0" fontId="83" fillId="8" borderId="0" xfId="2" applyFont="1" applyFill="1" applyBorder="1" applyProtection="1">
      <protection hidden="1"/>
    </xf>
    <xf numFmtId="0" fontId="27" fillId="5" borderId="14" xfId="2" applyFont="1" applyFill="1" applyBorder="1" applyAlignment="1" applyProtection="1">
      <alignment horizontal="center"/>
      <protection locked="0" hidden="1"/>
    </xf>
    <xf numFmtId="0" fontId="83" fillId="8" borderId="15" xfId="2" applyFont="1" applyFill="1" applyBorder="1" applyAlignment="1" applyProtection="1">
      <protection hidden="1"/>
    </xf>
    <xf numFmtId="164" fontId="32" fillId="10" borderId="16" xfId="2" applyNumberFormat="1" applyFont="1" applyFill="1" applyBorder="1" applyAlignment="1" applyProtection="1">
      <protection hidden="1"/>
    </xf>
    <xf numFmtId="0" fontId="83" fillId="8" borderId="16" xfId="2" applyFont="1" applyFill="1" applyBorder="1" applyAlignment="1" applyProtection="1">
      <protection hidden="1"/>
    </xf>
    <xf numFmtId="0" fontId="85" fillId="10" borderId="16" xfId="2" applyFont="1" applyFill="1" applyBorder="1" applyAlignment="1" applyProtection="1">
      <protection hidden="1"/>
    </xf>
    <xf numFmtId="3" fontId="27" fillId="6" borderId="14" xfId="2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/>
    <xf numFmtId="0" fontId="13" fillId="9" borderId="17" xfId="0" applyFont="1" applyFill="1" applyBorder="1" applyAlignment="1">
      <alignment horizontal="center" vertical="center"/>
    </xf>
    <xf numFmtId="0" fontId="13" fillId="9" borderId="0" xfId="0" applyFont="1" applyFill="1" applyAlignment="1"/>
    <xf numFmtId="167" fontId="91" fillId="9" borderId="0" xfId="0" applyNumberFormat="1" applyFont="1" applyFill="1" applyAlignment="1">
      <alignment horizontal="center" vertical="center"/>
    </xf>
    <xf numFmtId="167" fontId="109" fillId="9" borderId="0" xfId="0" applyNumberFormat="1" applyFont="1" applyFill="1" applyAlignment="1">
      <alignment vertical="center"/>
    </xf>
    <xf numFmtId="0" fontId="79" fillId="9" borderId="0" xfId="0" applyFont="1" applyFill="1" applyAlignment="1">
      <alignment vertical="top"/>
    </xf>
    <xf numFmtId="167" fontId="13" fillId="9" borderId="0" xfId="0" applyNumberFormat="1" applyFont="1" applyFill="1" applyAlignment="1">
      <alignment vertical="center"/>
    </xf>
    <xf numFmtId="0" fontId="13" fillId="9" borderId="0" xfId="0" applyFont="1" applyFill="1"/>
    <xf numFmtId="0" fontId="13" fillId="11" borderId="0" xfId="0" applyFont="1" applyFill="1"/>
    <xf numFmtId="0" fontId="29" fillId="0" borderId="0" xfId="0" applyFont="1" applyAlignment="1"/>
    <xf numFmtId="0" fontId="24" fillId="0" borderId="0" xfId="0" applyFont="1"/>
    <xf numFmtId="3" fontId="24" fillId="0" borderId="0" xfId="0" applyNumberFormat="1" applyFont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textRotation="90" shrinkToFit="1"/>
    </xf>
    <xf numFmtId="0" fontId="24" fillId="0" borderId="0" xfId="0" applyFont="1" applyAlignment="1">
      <alignment textRotation="90" shrinkToFit="1"/>
    </xf>
    <xf numFmtId="0" fontId="13" fillId="0" borderId="0" xfId="0" applyFont="1" applyAlignment="1">
      <alignment textRotation="90" shrinkToFit="1"/>
    </xf>
    <xf numFmtId="49" fontId="13" fillId="2" borderId="0" xfId="0" applyNumberFormat="1" applyFont="1" applyFill="1" applyAlignment="1"/>
    <xf numFmtId="3" fontId="109" fillId="2" borderId="0" xfId="0" applyNumberFormat="1" applyFont="1" applyFill="1" applyAlignment="1">
      <alignment vertical="center"/>
    </xf>
    <xf numFmtId="49" fontId="13" fillId="2" borderId="0" xfId="0" applyNumberFormat="1" applyFont="1" applyFill="1" applyAlignment="1">
      <alignment wrapText="1"/>
    </xf>
    <xf numFmtId="49" fontId="19" fillId="2" borderId="0" xfId="0" applyNumberFormat="1" applyFont="1" applyFill="1" applyAlignment="1">
      <alignment wrapText="1"/>
    </xf>
    <xf numFmtId="0" fontId="13" fillId="2" borderId="0" xfId="0" applyFont="1" applyFill="1"/>
    <xf numFmtId="0" fontId="13" fillId="2" borderId="0" xfId="0" applyFont="1" applyFill="1" applyAlignment="1">
      <alignment vertical="center" wrapText="1"/>
    </xf>
    <xf numFmtId="0" fontId="13" fillId="9" borderId="18" xfId="0" applyFont="1" applyFill="1" applyBorder="1"/>
    <xf numFmtId="3" fontId="24" fillId="0" borderId="0" xfId="0" applyNumberFormat="1" applyFont="1" applyAlignment="1">
      <alignment shrinkToFit="1"/>
    </xf>
    <xf numFmtId="0" fontId="42" fillId="0" borderId="0" xfId="0" applyFont="1" applyAlignment="1" applyProtection="1">
      <alignment horizontal="center" vertical="center" shrinkToFit="1"/>
      <protection locked="0" hidden="1"/>
    </xf>
    <xf numFmtId="0" fontId="44" fillId="0" borderId="0" xfId="0" applyFont="1" applyAlignment="1" applyProtection="1">
      <alignment horizontal="center" vertical="center" shrinkToFit="1"/>
      <protection locked="0" hidden="1"/>
    </xf>
    <xf numFmtId="0" fontId="57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>
      <alignment horizontal="center" vertical="center" textRotation="90" shrinkToFit="1"/>
    </xf>
    <xf numFmtId="0" fontId="24" fillId="0" borderId="0" xfId="0" applyFont="1" applyAlignment="1">
      <alignment shrinkToFit="1"/>
    </xf>
    <xf numFmtId="0" fontId="95" fillId="0" borderId="0" xfId="0" applyFont="1"/>
    <xf numFmtId="0" fontId="6" fillId="12" borderId="19" xfId="0" applyFont="1" applyFill="1" applyBorder="1" applyAlignment="1" applyProtection="1">
      <alignment horizontal="center" vertical="center" wrapText="1"/>
      <protection hidden="1"/>
    </xf>
    <xf numFmtId="0" fontId="8" fillId="12" borderId="19" xfId="0" applyFont="1" applyFill="1" applyBorder="1" applyAlignment="1" applyProtection="1">
      <alignment horizontal="center" vertical="center" wrapText="1"/>
      <protection hidden="1"/>
    </xf>
    <xf numFmtId="0" fontId="8" fillId="12" borderId="20" xfId="0" applyFont="1" applyFill="1" applyBorder="1" applyAlignment="1" applyProtection="1">
      <alignment horizontal="center" vertical="center" wrapText="1"/>
      <protection hidden="1"/>
    </xf>
    <xf numFmtId="3" fontId="99" fillId="13" borderId="21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22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23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24" xfId="0" applyNumberFormat="1" applyFont="1" applyFill="1" applyBorder="1" applyAlignment="1" applyProtection="1">
      <alignment horizontal="center" vertical="center" shrinkToFit="1"/>
      <protection locked="0" hidden="1"/>
    </xf>
    <xf numFmtId="49" fontId="6" fillId="4" borderId="25" xfId="0" applyNumberFormat="1" applyFont="1" applyFill="1" applyBorder="1" applyAlignment="1" applyProtection="1">
      <alignment horizontal="center" vertical="center" wrapText="1"/>
      <protection hidden="1"/>
    </xf>
    <xf numFmtId="3" fontId="99" fillId="4" borderId="26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25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8" xfId="0" applyFont="1" applyFill="1" applyBorder="1" applyAlignment="1" applyProtection="1">
      <alignment horizontal="center" vertical="center" wrapText="1"/>
      <protection hidden="1"/>
    </xf>
    <xf numFmtId="3" fontId="99" fillId="4" borderId="29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28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30" xfId="0" applyNumberFormat="1" applyFont="1" applyFill="1" applyBorder="1" applyAlignment="1" applyProtection="1">
      <alignment horizontal="center" vertical="center" shrinkToFit="1"/>
      <protection locked="0" hidden="1"/>
    </xf>
    <xf numFmtId="49" fontId="6" fillId="4" borderId="31" xfId="0" applyNumberFormat="1" applyFont="1" applyFill="1" applyBorder="1" applyAlignment="1" applyProtection="1">
      <alignment horizontal="center" vertical="center" wrapText="1"/>
      <protection hidden="1"/>
    </xf>
    <xf numFmtId="3" fontId="99" fillId="4" borderId="32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31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4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2" fillId="4" borderId="34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3" fontId="106" fillId="0" borderId="0" xfId="0" applyNumberFormat="1" applyFont="1" applyAlignment="1" applyProtection="1">
      <alignment horizontal="left" vertical="center" wrapText="1"/>
      <protection hidden="1"/>
    </xf>
    <xf numFmtId="0" fontId="91" fillId="14" borderId="36" xfId="0" applyFont="1" applyFill="1" applyBorder="1" applyAlignment="1" applyProtection="1">
      <alignment vertical="center" wrapText="1"/>
      <protection hidden="1"/>
    </xf>
    <xf numFmtId="0" fontId="91" fillId="14" borderId="37" xfId="0" applyFont="1" applyFill="1" applyBorder="1" applyAlignment="1" applyProtection="1">
      <alignment vertical="center" wrapText="1"/>
      <protection hidden="1"/>
    </xf>
    <xf numFmtId="0" fontId="91" fillId="14" borderId="38" xfId="0" applyFont="1" applyFill="1" applyBorder="1" applyAlignment="1" applyProtection="1">
      <alignment vertical="center" wrapText="1"/>
      <protection hidden="1"/>
    </xf>
    <xf numFmtId="0" fontId="91" fillId="15" borderId="39" xfId="0" applyFont="1" applyFill="1" applyBorder="1" applyAlignment="1" applyProtection="1">
      <alignment vertical="center" wrapText="1"/>
      <protection hidden="1"/>
    </xf>
    <xf numFmtId="0" fontId="91" fillId="15" borderId="37" xfId="0" applyFont="1" applyFill="1" applyBorder="1" applyAlignment="1" applyProtection="1">
      <alignment vertical="center" wrapText="1"/>
      <protection hidden="1"/>
    </xf>
    <xf numFmtId="0" fontId="91" fillId="15" borderId="38" xfId="0" applyFont="1" applyFill="1" applyBorder="1" applyAlignment="1" applyProtection="1">
      <alignment vertical="center" wrapText="1"/>
      <protection hidden="1"/>
    </xf>
    <xf numFmtId="0" fontId="91" fillId="16" borderId="39" xfId="0" applyFont="1" applyFill="1" applyBorder="1" applyAlignment="1" applyProtection="1">
      <alignment vertical="center" wrapText="1"/>
      <protection hidden="1"/>
    </xf>
    <xf numFmtId="0" fontId="91" fillId="16" borderId="37" xfId="0" applyFont="1" applyFill="1" applyBorder="1" applyAlignment="1" applyProtection="1">
      <alignment vertical="center" wrapText="1"/>
      <protection hidden="1"/>
    </xf>
    <xf numFmtId="0" fontId="91" fillId="16" borderId="38" xfId="0" applyFont="1" applyFill="1" applyBorder="1" applyAlignment="1" applyProtection="1">
      <alignment vertical="center" wrapText="1"/>
      <protection hidden="1"/>
    </xf>
    <xf numFmtId="0" fontId="91" fillId="17" borderId="40" xfId="0" applyFont="1" applyFill="1" applyBorder="1" applyAlignment="1" applyProtection="1">
      <alignment vertical="center" wrapText="1"/>
      <protection hidden="1"/>
    </xf>
    <xf numFmtId="0" fontId="91" fillId="17" borderId="37" xfId="0" applyFont="1" applyFill="1" applyBorder="1" applyAlignment="1" applyProtection="1">
      <alignment vertical="center" wrapText="1"/>
      <protection hidden="1"/>
    </xf>
    <xf numFmtId="0" fontId="91" fillId="17" borderId="38" xfId="0" applyFont="1" applyFill="1" applyBorder="1" applyAlignment="1" applyProtection="1">
      <alignment vertical="center" wrapText="1"/>
      <protection hidden="1"/>
    </xf>
    <xf numFmtId="0" fontId="91" fillId="18" borderId="40" xfId="0" applyFont="1" applyFill="1" applyBorder="1" applyAlignment="1" applyProtection="1">
      <alignment vertical="center" wrapText="1"/>
      <protection hidden="1"/>
    </xf>
    <xf numFmtId="0" fontId="91" fillId="18" borderId="37" xfId="0" applyFont="1" applyFill="1" applyBorder="1" applyAlignment="1" applyProtection="1">
      <alignment vertical="center" wrapText="1"/>
      <protection hidden="1"/>
    </xf>
    <xf numFmtId="0" fontId="91" fillId="18" borderId="41" xfId="0" applyFont="1" applyFill="1" applyBorder="1" applyAlignment="1" applyProtection="1">
      <alignment vertical="center" wrapText="1"/>
      <protection hidden="1"/>
    </xf>
    <xf numFmtId="3" fontId="94" fillId="14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4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4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46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46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48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5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5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5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52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5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52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2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5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5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5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56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5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5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56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5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5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5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55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54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4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5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6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6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7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63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94" fillId="18" borderId="64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12" borderId="65" xfId="0" applyFont="1" applyFill="1" applyBorder="1" applyAlignment="1" applyProtection="1">
      <alignment horizontal="center" vertical="center" wrapText="1"/>
      <protection hidden="1"/>
    </xf>
    <xf numFmtId="0" fontId="24" fillId="12" borderId="66" xfId="0" applyFont="1" applyFill="1" applyBorder="1" applyAlignment="1" applyProtection="1">
      <alignment horizontal="center" vertical="center" wrapText="1"/>
      <protection hidden="1"/>
    </xf>
    <xf numFmtId="0" fontId="91" fillId="8" borderId="67" xfId="0" applyFont="1" applyFill="1" applyBorder="1" applyAlignment="1" applyProtection="1">
      <alignment vertical="center" wrapText="1"/>
      <protection hidden="1"/>
    </xf>
    <xf numFmtId="0" fontId="91" fillId="8" borderId="37" xfId="0" applyFont="1" applyFill="1" applyBorder="1" applyAlignment="1" applyProtection="1">
      <alignment vertical="center" wrapText="1"/>
      <protection hidden="1"/>
    </xf>
    <xf numFmtId="0" fontId="91" fillId="8" borderId="68" xfId="0" applyFont="1" applyFill="1" applyBorder="1" applyAlignment="1" applyProtection="1">
      <alignment vertical="center" wrapText="1"/>
      <protection hidden="1"/>
    </xf>
    <xf numFmtId="0" fontId="15" fillId="12" borderId="69" xfId="0" applyFont="1" applyFill="1" applyBorder="1" applyAlignment="1" applyProtection="1">
      <alignment horizontal="center" vertical="center" wrapText="1"/>
      <protection hidden="1"/>
    </xf>
    <xf numFmtId="0" fontId="18" fillId="12" borderId="69" xfId="0" applyFont="1" applyFill="1" applyBorder="1" applyAlignment="1" applyProtection="1">
      <alignment horizontal="center" vertical="center" wrapText="1"/>
      <protection hidden="1"/>
    </xf>
    <xf numFmtId="0" fontId="13" fillId="4" borderId="70" xfId="0" applyFont="1" applyFill="1" applyBorder="1" applyAlignment="1" applyProtection="1">
      <alignment horizontal="left" vertical="center" wrapText="1"/>
      <protection hidden="1"/>
    </xf>
    <xf numFmtId="0" fontId="13" fillId="4" borderId="71" xfId="0" applyFont="1" applyFill="1" applyBorder="1" applyAlignment="1" applyProtection="1">
      <alignment horizontal="left" vertical="center" wrapText="1"/>
      <protection hidden="1"/>
    </xf>
    <xf numFmtId="0" fontId="13" fillId="4" borderId="72" xfId="0" applyFont="1" applyFill="1" applyBorder="1" applyAlignment="1" applyProtection="1">
      <alignment horizontal="left" vertical="center" wrapText="1"/>
      <protection hidden="1"/>
    </xf>
    <xf numFmtId="0" fontId="13" fillId="4" borderId="73" xfId="0" applyFont="1" applyFill="1" applyBorder="1" applyAlignment="1" applyProtection="1">
      <alignment horizontal="left" vertical="center" wrapText="1"/>
      <protection hidden="1"/>
    </xf>
    <xf numFmtId="0" fontId="22" fillId="12" borderId="74" xfId="0" applyFont="1" applyFill="1" applyBorder="1" applyAlignment="1" applyProtection="1">
      <alignment horizontal="center" vertical="center" wrapText="1"/>
      <protection hidden="1"/>
    </xf>
    <xf numFmtId="0" fontId="15" fillId="12" borderId="74" xfId="0" applyFont="1" applyFill="1" applyBorder="1" applyAlignment="1" applyProtection="1">
      <alignment horizontal="center" vertical="center" wrapText="1"/>
      <protection hidden="1"/>
    </xf>
    <xf numFmtId="3" fontId="99" fillId="13" borderId="75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76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77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78" xfId="0" applyNumberFormat="1" applyFont="1" applyFill="1" applyBorder="1" applyAlignment="1" applyProtection="1">
      <alignment horizontal="center" vertical="center" shrinkToFit="1"/>
      <protection locked="0" hidden="1"/>
    </xf>
    <xf numFmtId="49" fontId="33" fillId="2" borderId="79" xfId="0" applyNumberFormat="1" applyFont="1" applyFill="1" applyBorder="1" applyAlignment="1" applyProtection="1">
      <alignment shrinkToFit="1"/>
      <protection locked="0" hidden="1"/>
    </xf>
    <xf numFmtId="14" fontId="33" fillId="2" borderId="79" xfId="0" applyNumberFormat="1" applyFont="1" applyFill="1" applyBorder="1" applyAlignment="1" applyProtection="1">
      <alignment horizontal="center" wrapText="1"/>
      <protection locked="0" hidden="1"/>
    </xf>
    <xf numFmtId="3" fontId="99" fillId="13" borderId="80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81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82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3" borderId="83" xfId="0" applyNumberFormat="1" applyFont="1" applyFill="1" applyBorder="1" applyAlignment="1" applyProtection="1">
      <alignment horizontal="center" vertical="center" shrinkToFit="1"/>
      <protection locked="0" hidden="1"/>
    </xf>
    <xf numFmtId="0" fontId="71" fillId="19" borderId="84" xfId="0" applyFont="1" applyFill="1" applyBorder="1" applyAlignment="1" applyProtection="1">
      <alignment horizontal="center" vertical="center" wrapText="1"/>
      <protection hidden="1"/>
    </xf>
    <xf numFmtId="0" fontId="71" fillId="19" borderId="60" xfId="0" applyFont="1" applyFill="1" applyBorder="1" applyAlignment="1" applyProtection="1">
      <alignment horizontal="center" vertical="center" wrapText="1"/>
      <protection hidden="1"/>
    </xf>
    <xf numFmtId="0" fontId="71" fillId="19" borderId="54" xfId="0" applyFont="1" applyFill="1" applyBorder="1" applyAlignment="1" applyProtection="1">
      <alignment horizontal="center" vertical="center" wrapText="1"/>
      <protection hidden="1"/>
    </xf>
    <xf numFmtId="0" fontId="71" fillId="19" borderId="49" xfId="0" applyFont="1" applyFill="1" applyBorder="1" applyAlignment="1" applyProtection="1">
      <alignment horizontal="center" vertical="center" wrapText="1"/>
      <protection hidden="1"/>
    </xf>
    <xf numFmtId="0" fontId="71" fillId="19" borderId="85" xfId="0" applyFont="1" applyFill="1" applyBorder="1" applyAlignment="1" applyProtection="1">
      <alignment horizontal="center" vertical="center" wrapText="1"/>
      <protection hidden="1"/>
    </xf>
    <xf numFmtId="0" fontId="71" fillId="19" borderId="86" xfId="0" applyFont="1" applyFill="1" applyBorder="1" applyAlignment="1" applyProtection="1">
      <alignment horizontal="center" vertical="center" wrapText="1"/>
      <protection hidden="1"/>
    </xf>
    <xf numFmtId="0" fontId="71" fillId="19" borderId="87" xfId="0" applyFont="1" applyFill="1" applyBorder="1" applyAlignment="1" applyProtection="1">
      <alignment horizontal="center" vertical="center" wrapText="1"/>
      <protection hidden="1"/>
    </xf>
    <xf numFmtId="0" fontId="0" fillId="2" borderId="71" xfId="0" applyFill="1" applyBorder="1" applyProtection="1">
      <protection hidden="1"/>
    </xf>
    <xf numFmtId="0" fontId="124" fillId="0" borderId="0" xfId="0" applyFont="1" applyAlignment="1" applyProtection="1">
      <alignment horizontal="center" vertical="center" shrinkToFit="1"/>
      <protection hidden="1"/>
    </xf>
    <xf numFmtId="3" fontId="99" fillId="18" borderId="88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8" borderId="89" xfId="0" applyNumberFormat="1" applyFont="1" applyFill="1" applyBorder="1" applyAlignment="1" applyProtection="1">
      <alignment horizontal="center" vertical="center" shrinkToFit="1"/>
      <protection locked="0" hidden="1"/>
    </xf>
    <xf numFmtId="3" fontId="99" fillId="18" borderId="90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5" borderId="0" xfId="2" applyFont="1" applyFill="1" applyBorder="1" applyAlignment="1" applyProtection="1">
      <alignment horizontal="left"/>
      <protection hidden="1"/>
    </xf>
    <xf numFmtId="3" fontId="109" fillId="4" borderId="91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92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93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94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95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96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20" borderId="92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20" borderId="94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20" borderId="96" xfId="0" applyNumberFormat="1" applyFont="1" applyFill="1" applyBorder="1" applyAlignment="1" applyProtection="1">
      <alignment horizontal="center" vertical="center" wrapText="1"/>
      <protection locked="0" hidden="1"/>
    </xf>
    <xf numFmtId="0" fontId="84" fillId="21" borderId="0" xfId="2" applyFont="1" applyFill="1" applyBorder="1" applyProtection="1">
      <protection hidden="1"/>
    </xf>
    <xf numFmtId="0" fontId="27" fillId="21" borderId="0" xfId="2" applyFont="1" applyFill="1" applyBorder="1" applyAlignment="1" applyProtection="1">
      <alignment horizontal="center" shrinkToFit="1"/>
      <protection hidden="1"/>
    </xf>
    <xf numFmtId="0" fontId="27" fillId="6" borderId="97" xfId="2" applyFont="1" applyFill="1" applyBorder="1" applyAlignment="1" applyProtection="1">
      <alignment horizontal="center"/>
      <protection locked="0" hidden="1"/>
    </xf>
    <xf numFmtId="0" fontId="27" fillId="5" borderId="98" xfId="2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alignment horizontal="left" wrapText="1"/>
      <protection hidden="1"/>
    </xf>
    <xf numFmtId="0" fontId="0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NumberFormat="1" applyFont="1" applyFill="1" applyBorder="1" applyAlignment="1" applyProtection="1">
      <alignment vertical="center" shrinkToFit="1"/>
      <protection hidden="1"/>
    </xf>
    <xf numFmtId="0" fontId="18" fillId="12" borderId="99" xfId="0" applyFont="1" applyFill="1" applyBorder="1" applyAlignment="1" applyProtection="1">
      <alignment horizontal="center" vertical="center" wrapText="1"/>
      <protection hidden="1"/>
    </xf>
    <xf numFmtId="0" fontId="16" fillId="4" borderId="100" xfId="0" applyFont="1" applyFill="1" applyBorder="1" applyAlignment="1" applyProtection="1">
      <alignment horizontal="left" vertical="center" wrapText="1"/>
      <protection hidden="1"/>
    </xf>
    <xf numFmtId="3" fontId="109" fillId="4" borderId="101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4" borderId="102" xfId="0" applyFont="1" applyFill="1" applyBorder="1" applyAlignment="1" applyProtection="1">
      <alignment horizontal="left" vertical="center" wrapText="1"/>
      <protection hidden="1"/>
    </xf>
    <xf numFmtId="3" fontId="109" fillId="4" borderId="103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4" borderId="104" xfId="0" applyFont="1" applyFill="1" applyBorder="1" applyAlignment="1" applyProtection="1">
      <alignment horizontal="left" vertical="center" wrapText="1"/>
      <protection hidden="1"/>
    </xf>
    <xf numFmtId="3" fontId="109" fillId="4" borderId="105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4" borderId="104" xfId="0" applyFont="1" applyFill="1" applyBorder="1" applyAlignment="1" applyProtection="1">
      <alignment horizontal="left" vertical="center" wrapText="1"/>
      <protection hidden="1"/>
    </xf>
    <xf numFmtId="0" fontId="16" fillId="4" borderId="106" xfId="0" applyFont="1" applyFill="1" applyBorder="1" applyAlignment="1" applyProtection="1">
      <alignment horizontal="left" vertical="center" wrapText="1"/>
      <protection hidden="1"/>
    </xf>
    <xf numFmtId="3" fontId="109" fillId="20" borderId="107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108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107" xfId="0" applyNumberFormat="1" applyFont="1" applyFill="1" applyBorder="1" applyAlignment="1" applyProtection="1">
      <alignment horizontal="center" vertical="center" wrapText="1"/>
      <protection locked="0" hidden="1"/>
    </xf>
    <xf numFmtId="3" fontId="109" fillId="4" borderId="109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2" borderId="0" xfId="0" applyFont="1" applyFill="1"/>
    <xf numFmtId="0" fontId="24" fillId="2" borderId="0" xfId="0" applyFont="1" applyFill="1" applyAlignment="1">
      <alignment horizontal="center" vertical="center" shrinkToFit="1"/>
    </xf>
    <xf numFmtId="0" fontId="24" fillId="2" borderId="0" xfId="0" applyFont="1" applyFill="1" applyAlignment="1">
      <alignment horizontal="center" vertical="center" textRotation="90" shrinkToFit="1"/>
    </xf>
    <xf numFmtId="0" fontId="24" fillId="2" borderId="0" xfId="0" applyFont="1" applyFill="1" applyAlignment="1">
      <alignment textRotation="90" shrinkToFit="1"/>
    </xf>
    <xf numFmtId="3" fontId="14" fillId="8" borderId="0" xfId="0" applyNumberFormat="1" applyFont="1" applyFill="1" applyAlignment="1" applyProtection="1">
      <alignment horizontal="center" vertical="center" wrapText="1"/>
      <protection hidden="1"/>
    </xf>
    <xf numFmtId="4" fontId="103" fillId="22" borderId="110" xfId="0" applyNumberFormat="1" applyFont="1" applyFill="1" applyBorder="1" applyAlignment="1" applyProtection="1">
      <alignment horizontal="center" vertical="center" shrinkToFit="1"/>
      <protection hidden="1"/>
    </xf>
    <xf numFmtId="4" fontId="103" fillId="22" borderId="111" xfId="0" applyNumberFormat="1" applyFont="1" applyFill="1" applyBorder="1" applyAlignment="1" applyProtection="1">
      <alignment horizontal="center" vertical="center" shrinkToFit="1"/>
      <protection hidden="1"/>
    </xf>
    <xf numFmtId="4" fontId="103" fillId="22" borderId="112" xfId="0" applyNumberFormat="1" applyFont="1" applyFill="1" applyBorder="1" applyAlignment="1" applyProtection="1">
      <alignment horizontal="center" vertical="center" shrinkToFit="1"/>
      <protection hidden="1"/>
    </xf>
    <xf numFmtId="3" fontId="103" fillId="23" borderId="93" xfId="0" applyNumberFormat="1" applyFont="1" applyFill="1" applyBorder="1" applyAlignment="1" applyProtection="1">
      <alignment horizontal="center" vertical="center" shrinkToFit="1"/>
      <protection hidden="1"/>
    </xf>
    <xf numFmtId="3" fontId="103" fillId="23" borderId="94" xfId="0" applyNumberFormat="1" applyFont="1" applyFill="1" applyBorder="1" applyAlignment="1" applyProtection="1">
      <alignment horizontal="center" vertical="center" shrinkToFit="1"/>
      <protection hidden="1"/>
    </xf>
    <xf numFmtId="3" fontId="103" fillId="23" borderId="113" xfId="0" applyNumberFormat="1" applyFont="1" applyFill="1" applyBorder="1" applyAlignment="1" applyProtection="1">
      <alignment horizontal="center" vertical="center" shrinkToFit="1"/>
      <protection hidden="1"/>
    </xf>
    <xf numFmtId="3" fontId="103" fillId="23" borderId="0" xfId="0" applyNumberFormat="1" applyFont="1" applyFill="1" applyBorder="1" applyAlignment="1" applyProtection="1">
      <alignment horizontal="center" vertical="center" shrinkToFit="1"/>
      <protection hidden="1"/>
    </xf>
    <xf numFmtId="0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applyNumberFormat="1" applyFont="1" applyFill="1" applyBorder="1" applyAlignment="1" applyProtection="1">
      <alignment vertical="center" wrapText="1"/>
      <protection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03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NumberFormat="1" applyFont="1" applyFill="1" applyBorder="1" applyAlignment="1" applyProtection="1">
      <alignment horizontal="left" vertical="center" wrapText="1"/>
      <protection hidden="1"/>
    </xf>
    <xf numFmtId="3" fontId="109" fillId="4" borderId="113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114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0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115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93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94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116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4" borderId="117" xfId="0" applyNumberFormat="1" applyFont="1" applyFill="1" applyBorder="1" applyAlignment="1" applyProtection="1">
      <alignment horizontal="center" vertical="center" shrinkToFit="1"/>
      <protection locked="0" hidden="1"/>
    </xf>
    <xf numFmtId="165" fontId="129" fillId="24" borderId="112" xfId="0" applyNumberFormat="1" applyFont="1" applyFill="1" applyBorder="1" applyAlignment="1" applyProtection="1">
      <alignment horizontal="center" vertical="center" shrinkToFit="1"/>
      <protection locked="0" hidden="1"/>
    </xf>
    <xf numFmtId="165" fontId="129" fillId="24" borderId="111" xfId="0" applyNumberFormat="1" applyFont="1" applyFill="1" applyBorder="1" applyAlignment="1" applyProtection="1">
      <alignment horizontal="center" vertical="center" shrinkToFit="1"/>
      <protection locked="0" hidden="1"/>
    </xf>
    <xf numFmtId="165" fontId="129" fillId="24" borderId="118" xfId="0" applyNumberFormat="1" applyFont="1" applyFill="1" applyBorder="1" applyAlignment="1" applyProtection="1">
      <alignment horizontal="center" vertical="center" shrinkToFit="1"/>
      <protection locked="0" hidden="1"/>
    </xf>
    <xf numFmtId="165" fontId="129" fillId="24" borderId="119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18" borderId="114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18" borderId="115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18" borderId="94" xfId="0" applyNumberFormat="1" applyFont="1" applyFill="1" applyBorder="1" applyAlignment="1" applyProtection="1">
      <alignment horizontal="center" vertical="center" shrinkToFit="1"/>
      <protection locked="0" hidden="1"/>
    </xf>
    <xf numFmtId="3" fontId="109" fillId="18" borderId="117" xfId="0" applyNumberFormat="1" applyFont="1" applyFill="1" applyBorder="1" applyAlignment="1" applyProtection="1">
      <alignment horizontal="center" vertical="center" shrinkToFit="1"/>
      <protection locked="0" hidden="1"/>
    </xf>
    <xf numFmtId="3" fontId="103" fillId="23" borderId="114" xfId="0" applyNumberFormat="1" applyFont="1" applyFill="1" applyBorder="1" applyAlignment="1" applyProtection="1">
      <alignment horizontal="center" vertical="center" shrinkToFit="1"/>
      <protection hidden="1"/>
    </xf>
    <xf numFmtId="3" fontId="103" fillId="23" borderId="115" xfId="0" applyNumberFormat="1" applyFont="1" applyFill="1" applyBorder="1" applyAlignment="1" applyProtection="1">
      <alignment horizontal="center" vertical="center" shrinkToFit="1"/>
      <protection hidden="1"/>
    </xf>
    <xf numFmtId="3" fontId="130" fillId="5" borderId="98" xfId="0" applyNumberFormat="1" applyFont="1" applyFill="1" applyBorder="1" applyAlignment="1" applyProtection="1">
      <alignment horizontal="center" wrapText="1"/>
      <protection locked="0" hidden="1"/>
    </xf>
    <xf numFmtId="0" fontId="60" fillId="6" borderId="0" xfId="2" applyFont="1" applyFill="1" applyBorder="1" applyAlignment="1" applyProtection="1">
      <protection hidden="1"/>
    </xf>
    <xf numFmtId="0" fontId="9" fillId="6" borderId="0" xfId="2" applyFont="1" applyFill="1" applyBorder="1" applyAlignment="1" applyProtection="1">
      <alignment horizontal="left"/>
      <protection hidden="1"/>
    </xf>
    <xf numFmtId="0" fontId="9" fillId="6" borderId="0" xfId="2" applyFont="1" applyFill="1" applyBorder="1" applyProtection="1">
      <protection hidden="1"/>
    </xf>
    <xf numFmtId="0" fontId="77" fillId="6" borderId="0" xfId="2" applyFont="1" applyFill="1" applyBorder="1" applyAlignment="1" applyProtection="1">
      <alignment horizontal="center" vertical="center"/>
      <protection hidden="1"/>
    </xf>
    <xf numFmtId="0" fontId="9" fillId="21" borderId="0" xfId="2" applyFont="1" applyFill="1" applyBorder="1" applyProtection="1">
      <protection hidden="1"/>
    </xf>
    <xf numFmtId="0" fontId="125" fillId="21" borderId="0" xfId="2" applyFont="1" applyFill="1" applyBorder="1" applyProtection="1">
      <protection hidden="1"/>
    </xf>
    <xf numFmtId="0" fontId="107" fillId="2" borderId="0" xfId="2" applyFont="1" applyFill="1" applyProtection="1">
      <protection hidden="1"/>
    </xf>
    <xf numFmtId="0" fontId="9" fillId="2" borderId="0" xfId="2" applyFont="1" applyFill="1" applyProtection="1">
      <protection hidden="1"/>
    </xf>
    <xf numFmtId="0" fontId="107" fillId="2" borderId="0" xfId="2" applyFont="1" applyFill="1" applyProtection="1">
      <protection locked="0" hidden="1"/>
    </xf>
    <xf numFmtId="0" fontId="0" fillId="0" borderId="0" xfId="0" applyBorder="1" applyAlignment="1" applyProtection="1">
      <alignment horizontal="center" shrinkToFit="1"/>
      <protection locked="0" hidden="1"/>
    </xf>
    <xf numFmtId="0" fontId="0" fillId="0" borderId="0" xfId="0" applyBorder="1" applyAlignment="1" applyProtection="1">
      <alignment horizontal="center" shrinkToFit="1"/>
      <protection hidden="1"/>
    </xf>
    <xf numFmtId="0" fontId="0" fillId="0" borderId="0" xfId="0" applyNumberFormat="1" applyFont="1" applyFill="1" applyBorder="1" applyAlignment="1" applyProtection="1">
      <protection hidden="1"/>
    </xf>
    <xf numFmtId="0" fontId="3" fillId="11" borderId="0" xfId="0" applyFont="1" applyFill="1" applyBorder="1" applyAlignment="1" applyProtection="1">
      <alignment horizontal="left" vertical="top" wrapText="1"/>
      <protection hidden="1"/>
    </xf>
    <xf numFmtId="0" fontId="45" fillId="0" borderId="0" xfId="0" applyFont="1" applyBorder="1" applyAlignment="1" applyProtection="1">
      <protection locked="0" hidden="1"/>
    </xf>
    <xf numFmtId="0" fontId="49" fillId="5" borderId="120" xfId="2" applyFont="1" applyFill="1" applyBorder="1" applyAlignment="1" applyProtection="1">
      <alignment horizontal="right" vertical="top"/>
      <protection hidden="1"/>
    </xf>
    <xf numFmtId="0" fontId="84" fillId="8" borderId="0" xfId="2" applyFont="1" applyFill="1" applyBorder="1" applyAlignment="1" applyProtection="1">
      <alignment horizontal="right" vertical="top"/>
      <protection hidden="1"/>
    </xf>
    <xf numFmtId="0" fontId="84" fillId="21" borderId="0" xfId="2" applyFont="1" applyFill="1" applyBorder="1" applyAlignment="1" applyProtection="1">
      <alignment vertical="top"/>
      <protection hidden="1"/>
    </xf>
    <xf numFmtId="49" fontId="130" fillId="4" borderId="2" xfId="0" applyNumberFormat="1" applyFont="1" applyFill="1" applyBorder="1" applyAlignment="1" applyProtection="1">
      <alignment horizontal="center" shrinkToFit="1"/>
      <protection locked="0" hidden="1"/>
    </xf>
    <xf numFmtId="14" fontId="33" fillId="2" borderId="79" xfId="0" applyNumberFormat="1" applyFont="1" applyFill="1" applyBorder="1" applyAlignment="1" applyProtection="1">
      <alignment horizontal="center" shrinkToFit="1"/>
      <protection locked="0" hidden="1"/>
    </xf>
    <xf numFmtId="14" fontId="33" fillId="2" borderId="121" xfId="0" applyNumberFormat="1" applyFont="1" applyFill="1" applyBorder="1" applyAlignment="1" applyProtection="1">
      <alignment horizontal="center" shrinkToFit="1"/>
      <protection locked="0" hidden="1"/>
    </xf>
    <xf numFmtId="0" fontId="64" fillId="0" borderId="0" xfId="0" applyFont="1" applyAlignment="1" applyProtection="1">
      <alignment horizontal="center" vertical="center" wrapText="1"/>
      <protection hidden="1"/>
    </xf>
    <xf numFmtId="49" fontId="107" fillId="0" borderId="0" xfId="2" applyNumberFormat="1" applyFont="1" applyProtection="1">
      <protection hidden="1"/>
    </xf>
    <xf numFmtId="3" fontId="107" fillId="0" borderId="0" xfId="2" applyNumberFormat="1" applyFont="1" applyProtection="1">
      <protection hidden="1"/>
    </xf>
    <xf numFmtId="0" fontId="107" fillId="5" borderId="0" xfId="2" applyFont="1" applyFill="1" applyProtection="1">
      <protection hidden="1"/>
    </xf>
    <xf numFmtId="0" fontId="107" fillId="5" borderId="0" xfId="2" applyFont="1" applyFill="1" applyAlignment="1" applyProtection="1">
      <alignment horizontal="center"/>
      <protection hidden="1"/>
    </xf>
    <xf numFmtId="0" fontId="107" fillId="8" borderId="0" xfId="2" applyFont="1" applyFill="1" applyProtection="1">
      <protection hidden="1"/>
    </xf>
    <xf numFmtId="0" fontId="107" fillId="21" borderId="0" xfId="2" applyFont="1" applyFill="1" applyProtection="1">
      <protection hidden="1"/>
    </xf>
    <xf numFmtId="0" fontId="107" fillId="21" borderId="0" xfId="2" applyFont="1" applyFill="1" applyAlignment="1" applyProtection="1">
      <alignment vertical="top"/>
      <protection hidden="1"/>
    </xf>
    <xf numFmtId="0" fontId="0" fillId="0" borderId="0" xfId="0" applyFont="1" applyAlignment="1" applyProtection="1">
      <alignment horizontal="center" shrinkToFit="1"/>
      <protection hidden="1"/>
    </xf>
    <xf numFmtId="0" fontId="16" fillId="9" borderId="8" xfId="0" applyFont="1" applyFill="1" applyBorder="1" applyAlignment="1">
      <alignment vertical="center" wrapText="1"/>
    </xf>
    <xf numFmtId="0" fontId="16" fillId="9" borderId="4" xfId="0" applyFont="1" applyFill="1" applyBorder="1" applyAlignment="1">
      <alignment vertical="center" wrapText="1"/>
    </xf>
    <xf numFmtId="49" fontId="60" fillId="0" borderId="0" xfId="0" applyNumberFormat="1" applyFont="1" applyAlignment="1" applyProtection="1">
      <alignment horizontal="left" vertical="center" wrapText="1"/>
      <protection hidden="1"/>
    </xf>
    <xf numFmtId="0" fontId="16" fillId="9" borderId="122" xfId="0" applyFont="1" applyFill="1" applyBorder="1" applyAlignment="1">
      <alignment vertical="center" wrapText="1"/>
    </xf>
    <xf numFmtId="43" fontId="69" fillId="9" borderId="123" xfId="0" applyNumberFormat="1" applyFont="1" applyFill="1" applyBorder="1" applyAlignment="1" applyProtection="1">
      <alignment horizontal="center" vertical="center" shrinkToFit="1"/>
      <protection locked="0" hidden="1"/>
    </xf>
    <xf numFmtId="0" fontId="135" fillId="8" borderId="124" xfId="0" applyFont="1" applyFill="1" applyBorder="1" applyAlignment="1" applyProtection="1">
      <alignment horizontal="center" vertical="center" wrapText="1"/>
      <protection locked="0" hidden="1"/>
    </xf>
    <xf numFmtId="0" fontId="135" fillId="8" borderId="125" xfId="0" applyFont="1" applyFill="1" applyBorder="1" applyAlignment="1" applyProtection="1">
      <alignment horizontal="center" vertical="center" wrapText="1"/>
      <protection locked="0" hidden="1"/>
    </xf>
    <xf numFmtId="0" fontId="135" fillId="8" borderId="126" xfId="0" applyFont="1" applyFill="1" applyBorder="1" applyAlignment="1" applyProtection="1">
      <alignment horizontal="center" vertical="center" wrapText="1"/>
      <protection locked="0" hidden="1"/>
    </xf>
    <xf numFmtId="0" fontId="135" fillId="8" borderId="43" xfId="0" applyFont="1" applyFill="1" applyBorder="1" applyAlignment="1" applyProtection="1">
      <alignment horizontal="center" vertical="center" wrapText="1"/>
      <protection locked="0" hidden="1"/>
    </xf>
    <xf numFmtId="0" fontId="135" fillId="8" borderId="127" xfId="0" applyFont="1" applyFill="1" applyBorder="1" applyAlignment="1" applyProtection="1">
      <alignment horizontal="center" vertical="center" wrapText="1"/>
      <protection locked="0" hidden="1"/>
    </xf>
    <xf numFmtId="43" fontId="16" fillId="9" borderId="9" xfId="0" applyNumberFormat="1" applyFont="1" applyFill="1" applyBorder="1" applyAlignment="1" applyProtection="1">
      <alignment horizontal="center" vertical="center" shrinkToFit="1"/>
      <protection locked="0" hidden="1"/>
    </xf>
    <xf numFmtId="43" fontId="16" fillId="9" borderId="5" xfId="0" applyNumberFormat="1" applyFont="1" applyFill="1" applyBorder="1" applyAlignment="1" applyProtection="1">
      <alignment horizontal="center" vertical="center" shrinkToFit="1"/>
      <protection locked="0" hidden="1"/>
    </xf>
    <xf numFmtId="43" fontId="16" fillId="9" borderId="7" xfId="0" applyNumberFormat="1" applyFont="1" applyFill="1" applyBorder="1" applyAlignment="1" applyProtection="1">
      <alignment horizontal="center" vertical="center" shrinkToFit="1"/>
      <protection locked="0" hidden="1"/>
    </xf>
    <xf numFmtId="43" fontId="16" fillId="9" borderId="123" xfId="0" applyNumberFormat="1" applyFont="1" applyFill="1" applyBorder="1" applyAlignment="1" applyProtection="1">
      <alignment horizontal="center" vertical="center" shrinkToFit="1"/>
      <protection locked="0" hidden="1"/>
    </xf>
    <xf numFmtId="0" fontId="136" fillId="8" borderId="10" xfId="0" applyFont="1" applyFill="1" applyBorder="1" applyAlignment="1" applyProtection="1">
      <alignment horizontal="center" vertical="center" wrapText="1"/>
      <protection hidden="1"/>
    </xf>
    <xf numFmtId="0" fontId="136" fillId="8" borderId="128" xfId="0" applyFont="1" applyFill="1" applyBorder="1" applyAlignment="1" applyProtection="1">
      <alignment horizontal="center" vertical="center" wrapText="1"/>
      <protection hidden="1"/>
    </xf>
    <xf numFmtId="0" fontId="136" fillId="8" borderId="11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/>
      <protection locked="0" hidden="1"/>
    </xf>
    <xf numFmtId="49" fontId="3" fillId="0" borderId="0" xfId="0" applyNumberFormat="1" applyFont="1" applyAlignment="1" applyProtection="1">
      <alignment horizontal="center" vertical="center" wrapText="1"/>
      <protection locked="0" hidden="1"/>
    </xf>
    <xf numFmtId="0" fontId="137" fillId="4" borderId="0" xfId="0" applyFont="1" applyFill="1" applyBorder="1" applyAlignment="1" applyProtection="1">
      <alignment horizontal="right" vertical="top" wrapText="1"/>
      <protection hidden="1"/>
    </xf>
    <xf numFmtId="0" fontId="139" fillId="4" borderId="0" xfId="0" applyFont="1" applyFill="1" applyBorder="1" applyAlignment="1" applyProtection="1">
      <alignment horizontal="left" vertical="top" wrapText="1"/>
      <protection locked="0" hidden="1"/>
    </xf>
    <xf numFmtId="0" fontId="131" fillId="15" borderId="129" xfId="0" applyFont="1" applyFill="1" applyBorder="1" applyAlignment="1" applyProtection="1">
      <alignment horizontal="center"/>
      <protection hidden="1"/>
    </xf>
    <xf numFmtId="0" fontId="131" fillId="15" borderId="130" xfId="0" applyFont="1" applyFill="1" applyBorder="1" applyAlignment="1" applyProtection="1">
      <alignment horizontal="center"/>
      <protection hidden="1"/>
    </xf>
    <xf numFmtId="0" fontId="131" fillId="15" borderId="131" xfId="0" applyFont="1" applyFill="1" applyBorder="1" applyAlignment="1" applyProtection="1">
      <alignment horizontal="center"/>
      <protection hidden="1"/>
    </xf>
    <xf numFmtId="0" fontId="132" fillId="15" borderId="71" xfId="0" applyFont="1" applyFill="1" applyBorder="1" applyAlignment="1" applyProtection="1">
      <alignment horizontal="center" vertical="center" wrapText="1"/>
      <protection hidden="1"/>
    </xf>
    <xf numFmtId="0" fontId="132" fillId="15" borderId="0" xfId="0" applyFont="1" applyFill="1" applyBorder="1" applyAlignment="1" applyProtection="1">
      <alignment horizontal="center" vertical="center" wrapText="1"/>
      <protection hidden="1"/>
    </xf>
    <xf numFmtId="0" fontId="132" fillId="15" borderId="132" xfId="0" applyFont="1" applyFill="1" applyBorder="1" applyAlignment="1" applyProtection="1">
      <alignment horizontal="center" vertical="center" wrapText="1"/>
      <protection hidden="1"/>
    </xf>
    <xf numFmtId="0" fontId="0" fillId="15" borderId="71" xfId="0" applyFill="1" applyBorder="1" applyAlignment="1" applyProtection="1">
      <alignment horizontal="center" vertical="top"/>
      <protection hidden="1"/>
    </xf>
    <xf numFmtId="0" fontId="0" fillId="15" borderId="0" xfId="0" applyFill="1" applyBorder="1" applyAlignment="1" applyProtection="1">
      <alignment horizontal="center" vertical="top"/>
      <protection hidden="1"/>
    </xf>
    <xf numFmtId="0" fontId="0" fillId="15" borderId="132" xfId="0" applyFill="1" applyBorder="1" applyAlignment="1" applyProtection="1">
      <alignment horizontal="center" vertical="top"/>
      <protection hidden="1"/>
    </xf>
    <xf numFmtId="0" fontId="0" fillId="15" borderId="41" xfId="0" applyFill="1" applyBorder="1" applyAlignment="1" applyProtection="1">
      <alignment horizontal="center" vertical="top"/>
      <protection hidden="1"/>
    </xf>
    <xf numFmtId="0" fontId="0" fillId="15" borderId="23" xfId="0" applyFill="1" applyBorder="1" applyAlignment="1" applyProtection="1">
      <alignment horizontal="center" vertical="top"/>
      <protection hidden="1"/>
    </xf>
    <xf numFmtId="0" fontId="0" fillId="15" borderId="24" xfId="0" applyFill="1" applyBorder="1" applyAlignment="1" applyProtection="1">
      <alignment horizontal="center" vertical="top"/>
      <protection hidden="1"/>
    </xf>
    <xf numFmtId="0" fontId="13" fillId="4" borderId="0" xfId="0" applyFont="1" applyFill="1" applyAlignment="1" applyProtection="1">
      <alignment horizontal="center" vertical="center" wrapText="1"/>
      <protection hidden="1"/>
    </xf>
    <xf numFmtId="0" fontId="28" fillId="4" borderId="2" xfId="0" applyFont="1" applyFill="1" applyBorder="1" applyAlignment="1" applyProtection="1">
      <alignment horizontal="left" vertical="center" shrinkToFit="1"/>
      <protection locked="0" hidden="1"/>
    </xf>
    <xf numFmtId="0" fontId="9" fillId="4" borderId="2" xfId="0" applyFont="1" applyFill="1" applyBorder="1" applyAlignment="1" applyProtection="1">
      <alignment horizontal="center" wrapText="1"/>
      <protection locked="0" hidden="1"/>
    </xf>
    <xf numFmtId="0" fontId="122" fillId="4" borderId="0" xfId="0" applyFont="1" applyFill="1" applyBorder="1" applyAlignment="1" applyProtection="1">
      <alignment horizontal="center" vertical="center" wrapText="1"/>
      <protection hidden="1"/>
    </xf>
    <xf numFmtId="0" fontId="82" fillId="4" borderId="0" xfId="0" applyFont="1" applyFill="1" applyBorder="1" applyAlignment="1" applyProtection="1">
      <alignment horizontal="center" vertical="center" wrapText="1"/>
      <protection hidden="1"/>
    </xf>
    <xf numFmtId="0" fontId="138" fillId="0" borderId="0" xfId="0" applyFont="1" applyAlignment="1" applyProtection="1">
      <alignment horizontal="center" vertical="center"/>
      <protection hidden="1"/>
    </xf>
    <xf numFmtId="0" fontId="106" fillId="0" borderId="0" xfId="0" applyFont="1" applyAlignment="1" applyProtection="1">
      <alignment horizontal="right" vertical="center" wrapText="1"/>
      <protection hidden="1"/>
    </xf>
    <xf numFmtId="0" fontId="14" fillId="4" borderId="0" xfId="0" applyFont="1" applyFill="1" applyBorder="1" applyAlignment="1" applyProtection="1">
      <alignment horizontal="left" vertical="top" wrapText="1"/>
      <protection hidden="1"/>
    </xf>
    <xf numFmtId="0" fontId="14" fillId="4" borderId="0" xfId="0" applyFont="1" applyFill="1" applyBorder="1" applyAlignment="1" applyProtection="1">
      <alignment horizontal="left" wrapText="1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0" fontId="2" fillId="4" borderId="0" xfId="0" applyFont="1" applyFill="1" applyAlignment="1" applyProtection="1">
      <alignment horizontal="center" vertical="center" wrapText="1"/>
      <protection hidden="1"/>
    </xf>
    <xf numFmtId="0" fontId="25" fillId="3" borderId="0" xfId="0" applyFont="1" applyFill="1" applyBorder="1" applyAlignment="1" applyProtection="1">
      <alignment horizontal="left" wrapText="1"/>
      <protection hidden="1"/>
    </xf>
    <xf numFmtId="0" fontId="30" fillId="4" borderId="0" xfId="0" applyFont="1" applyFill="1" applyAlignment="1" applyProtection="1">
      <alignment horizontal="center" vertical="center" wrapText="1"/>
      <protection hidden="1"/>
    </xf>
    <xf numFmtId="0" fontId="25" fillId="3" borderId="0" xfId="0" applyFont="1" applyFill="1" applyBorder="1" applyAlignment="1" applyProtection="1">
      <alignment horizontal="left" vertical="center" wrapText="1"/>
      <protection hidden="1"/>
    </xf>
    <xf numFmtId="0" fontId="82" fillId="4" borderId="0" xfId="0" applyFont="1" applyFill="1" applyBorder="1" applyAlignment="1" applyProtection="1">
      <alignment horizontal="center" vertical="top" wrapText="1"/>
      <protection hidden="1"/>
    </xf>
    <xf numFmtId="0" fontId="9" fillId="4" borderId="2" xfId="0" applyFont="1" applyFill="1" applyBorder="1" applyAlignment="1" applyProtection="1">
      <alignment horizontal="center" shrinkToFit="1"/>
      <protection hidden="1"/>
    </xf>
    <xf numFmtId="0" fontId="25" fillId="3" borderId="0" xfId="0" applyFont="1" applyFill="1" applyAlignment="1" applyProtection="1">
      <alignment horizontal="right" wrapText="1"/>
      <protection hidden="1"/>
    </xf>
    <xf numFmtId="0" fontId="4" fillId="4" borderId="0" xfId="0" applyFont="1" applyFill="1" applyBorder="1" applyAlignment="1" applyProtection="1">
      <alignment horizontal="center" vertical="top" wrapText="1"/>
      <protection hidden="1"/>
    </xf>
    <xf numFmtId="0" fontId="82" fillId="4" borderId="3" xfId="0" applyFont="1" applyFill="1" applyBorder="1" applyAlignment="1" applyProtection="1">
      <alignment horizontal="center" vertical="top" wrapText="1"/>
      <protection hidden="1"/>
    </xf>
    <xf numFmtId="0" fontId="27" fillId="6" borderId="14" xfId="2" applyFont="1" applyFill="1" applyBorder="1" applyAlignment="1" applyProtection="1">
      <alignment horizontal="left" shrinkToFit="1"/>
      <protection locked="0" hidden="1"/>
    </xf>
    <xf numFmtId="0" fontId="9" fillId="5" borderId="0" xfId="2" applyFont="1" applyFill="1" applyBorder="1" applyProtection="1">
      <protection hidden="1"/>
    </xf>
    <xf numFmtId="0" fontId="47" fillId="5" borderId="0" xfId="2" applyFont="1" applyFill="1" applyBorder="1" applyAlignment="1" applyProtection="1">
      <alignment horizontal="center" vertical="top"/>
      <protection hidden="1"/>
    </xf>
    <xf numFmtId="0" fontId="86" fillId="8" borderId="0" xfId="2" applyFont="1" applyFill="1" applyBorder="1" applyAlignment="1" applyProtection="1">
      <alignment horizontal="center" vertical="center" wrapText="1"/>
      <protection hidden="1"/>
    </xf>
    <xf numFmtId="0" fontId="48" fillId="5" borderId="0" xfId="2" applyFont="1" applyFill="1" applyBorder="1" applyAlignment="1" applyProtection="1">
      <alignment horizontal="left" vertical="top"/>
      <protection hidden="1"/>
    </xf>
    <xf numFmtId="0" fontId="77" fillId="5" borderId="133" xfId="2" applyFont="1" applyFill="1" applyBorder="1" applyAlignment="1" applyProtection="1">
      <alignment horizontal="center" vertical="top" shrinkToFit="1"/>
      <protection hidden="1"/>
    </xf>
    <xf numFmtId="0" fontId="108" fillId="21" borderId="0" xfId="2" applyFont="1" applyFill="1" applyBorder="1" applyAlignment="1" applyProtection="1">
      <alignment horizontal="center" vertical="top"/>
      <protection hidden="1"/>
    </xf>
    <xf numFmtId="0" fontId="27" fillId="8" borderId="79" xfId="2" applyFont="1" applyFill="1" applyBorder="1" applyAlignment="1" applyProtection="1">
      <alignment horizontal="center" shrinkToFit="1"/>
      <protection locked="0" hidden="1"/>
    </xf>
    <xf numFmtId="49" fontId="127" fillId="21" borderId="134" xfId="2" applyNumberFormat="1" applyFont="1" applyFill="1" applyBorder="1" applyAlignment="1" applyProtection="1">
      <alignment horizontal="center"/>
      <protection locked="0" hidden="1"/>
    </xf>
    <xf numFmtId="49" fontId="127" fillId="21" borderId="135" xfId="2" applyNumberFormat="1" applyFont="1" applyFill="1" applyBorder="1" applyAlignment="1" applyProtection="1">
      <alignment horizontal="center"/>
      <protection locked="0" hidden="1"/>
    </xf>
    <xf numFmtId="0" fontId="128" fillId="21" borderId="0" xfId="2" applyFont="1" applyFill="1" applyBorder="1" applyAlignment="1" applyProtection="1">
      <alignment vertical="top"/>
      <protection hidden="1"/>
    </xf>
    <xf numFmtId="0" fontId="27" fillId="2" borderId="136" xfId="2" applyFont="1" applyFill="1" applyBorder="1" applyAlignment="1" applyProtection="1">
      <alignment horizontal="center"/>
      <protection locked="0" hidden="1"/>
    </xf>
    <xf numFmtId="0" fontId="40" fillId="6" borderId="0" xfId="2" applyFont="1" applyFill="1" applyBorder="1" applyAlignment="1" applyProtection="1">
      <alignment horizontal="center"/>
      <protection hidden="1"/>
    </xf>
    <xf numFmtId="0" fontId="89" fillId="2" borderId="0" xfId="2" applyFont="1" applyFill="1" applyAlignment="1" applyProtection="1">
      <alignment horizontal="left" wrapText="1"/>
      <protection hidden="1"/>
    </xf>
    <xf numFmtId="0" fontId="5" fillId="2" borderId="136" xfId="2" applyFont="1" applyFill="1" applyBorder="1" applyProtection="1">
      <protection locked="0" hidden="1"/>
    </xf>
    <xf numFmtId="0" fontId="9" fillId="5" borderId="0" xfId="2" applyFont="1" applyFill="1" applyBorder="1" applyAlignment="1" applyProtection="1">
      <alignment horizontal="left"/>
      <protection hidden="1"/>
    </xf>
    <xf numFmtId="49" fontId="127" fillId="21" borderId="135" xfId="2" applyNumberFormat="1" applyFont="1" applyFill="1" applyBorder="1" applyAlignment="1" applyProtection="1">
      <alignment horizontal="center" shrinkToFit="1"/>
      <protection locked="0" hidden="1"/>
    </xf>
    <xf numFmtId="14" fontId="27" fillId="5" borderId="14" xfId="2" applyNumberFormat="1" applyFont="1" applyFill="1" applyBorder="1" applyAlignment="1" applyProtection="1">
      <alignment horizontal="center" shrinkToFit="1"/>
      <protection locked="0" hidden="1"/>
    </xf>
    <xf numFmtId="0" fontId="27" fillId="6" borderId="14" xfId="2" applyFont="1" applyFill="1" applyBorder="1" applyAlignment="1" applyProtection="1">
      <alignment horizontal="center" shrinkToFit="1"/>
      <protection locked="0" hidden="1"/>
    </xf>
    <xf numFmtId="0" fontId="9" fillId="5" borderId="0" xfId="2" applyFont="1" applyFill="1" applyBorder="1" applyAlignment="1" applyProtection="1">
      <alignment horizontal="left" shrinkToFit="1"/>
      <protection hidden="1"/>
    </xf>
    <xf numFmtId="0" fontId="52" fillId="6" borderId="0" xfId="2" applyFont="1" applyFill="1" applyBorder="1" applyAlignment="1" applyProtection="1">
      <alignment horizontal="center" vertical="center" wrapText="1"/>
      <protection hidden="1"/>
    </xf>
    <xf numFmtId="0" fontId="9" fillId="6" borderId="0" xfId="2" applyFont="1" applyFill="1" applyBorder="1" applyAlignment="1" applyProtection="1">
      <protection hidden="1"/>
    </xf>
    <xf numFmtId="0" fontId="51" fillId="6" borderId="0" xfId="2" applyFont="1" applyFill="1" applyBorder="1" applyAlignment="1" applyProtection="1">
      <alignment horizontal="center" vertical="top"/>
      <protection hidden="1"/>
    </xf>
    <xf numFmtId="0" fontId="76" fillId="6" borderId="0" xfId="2" applyFont="1" applyFill="1" applyBorder="1" applyAlignment="1" applyProtection="1">
      <protection hidden="1"/>
    </xf>
    <xf numFmtId="0" fontId="9" fillId="6" borderId="0" xfId="2" applyFont="1" applyFill="1" applyBorder="1" applyAlignment="1" applyProtection="1">
      <alignment horizontal="left"/>
      <protection hidden="1"/>
    </xf>
    <xf numFmtId="0" fontId="53" fillId="6" borderId="0" xfId="2" applyFont="1" applyFill="1" applyBorder="1" applyAlignment="1" applyProtection="1">
      <alignment horizontal="center" vertical="center" wrapText="1"/>
      <protection hidden="1"/>
    </xf>
    <xf numFmtId="0" fontId="27" fillId="5" borderId="14" xfId="2" applyFont="1" applyFill="1" applyBorder="1" applyAlignment="1" applyProtection="1">
      <alignment horizontal="left" shrinkToFit="1"/>
      <protection locked="0" hidden="1"/>
    </xf>
    <xf numFmtId="0" fontId="53" fillId="5" borderId="0" xfId="2" applyFont="1" applyFill="1" applyBorder="1" applyAlignment="1" applyProtection="1">
      <alignment horizontal="center" vertical="center" wrapText="1"/>
      <protection hidden="1"/>
    </xf>
    <xf numFmtId="0" fontId="27" fillId="6" borderId="0" xfId="2" applyFont="1" applyFill="1" applyBorder="1" applyAlignment="1" applyProtection="1">
      <alignment horizontal="center"/>
      <protection hidden="1"/>
    </xf>
    <xf numFmtId="0" fontId="9" fillId="5" borderId="0" xfId="2" applyFont="1" applyFill="1" applyBorder="1" applyAlignment="1" applyProtection="1">
      <alignment horizontal="center"/>
      <protection hidden="1"/>
    </xf>
    <xf numFmtId="1" fontId="27" fillId="6" borderId="14" xfId="2" applyNumberFormat="1" applyFont="1" applyFill="1" applyBorder="1" applyAlignment="1" applyProtection="1">
      <alignment horizontal="center"/>
      <protection locked="0" hidden="1"/>
    </xf>
    <xf numFmtId="0" fontId="56" fillId="0" borderId="0" xfId="0" applyFont="1" applyFill="1" applyAlignment="1" applyProtection="1">
      <alignment horizontal="left" wrapText="1"/>
      <protection hidden="1"/>
    </xf>
    <xf numFmtId="0" fontId="65" fillId="2" borderId="0" xfId="0" applyFont="1" applyFill="1" applyAlignment="1" applyProtection="1">
      <alignment horizontal="center" vertical="center"/>
      <protection hidden="1"/>
    </xf>
    <xf numFmtId="0" fontId="58" fillId="2" borderId="0" xfId="0" applyFont="1" applyFill="1" applyAlignment="1" applyProtection="1">
      <alignment horizontal="center" wrapText="1"/>
      <protection hidden="1"/>
    </xf>
    <xf numFmtId="0" fontId="1" fillId="12" borderId="129" xfId="0" applyFont="1" applyFill="1" applyBorder="1" applyAlignment="1" applyProtection="1">
      <alignment horizontal="center" vertical="center" wrapText="1"/>
      <protection hidden="1"/>
    </xf>
    <xf numFmtId="0" fontId="1" fillId="12" borderId="71" xfId="0" applyFont="1" applyFill="1" applyBorder="1" applyAlignment="1" applyProtection="1">
      <alignment horizontal="center" vertical="center" wrapText="1"/>
      <protection hidden="1"/>
    </xf>
    <xf numFmtId="0" fontId="1" fillId="12" borderId="137" xfId="0" applyFont="1" applyFill="1" applyBorder="1" applyAlignment="1" applyProtection="1">
      <alignment horizontal="center" vertical="center" wrapText="1"/>
      <protection hidden="1"/>
    </xf>
    <xf numFmtId="0" fontId="91" fillId="2" borderId="0" xfId="0" applyFont="1" applyFill="1" applyBorder="1" applyAlignment="1" applyProtection="1">
      <alignment horizontal="left" wrapText="1"/>
      <protection hidden="1"/>
    </xf>
    <xf numFmtId="0" fontId="97" fillId="2" borderId="0" xfId="0" applyFont="1" applyFill="1" applyBorder="1" applyAlignment="1" applyProtection="1">
      <alignment horizontal="left" wrapText="1"/>
      <protection hidden="1"/>
    </xf>
    <xf numFmtId="0" fontId="3" fillId="2" borderId="0" xfId="0" applyFont="1" applyFill="1" applyBorder="1" applyAlignment="1" applyProtection="1">
      <alignment horizontal="left" wrapText="1"/>
      <protection hidden="1"/>
    </xf>
    <xf numFmtId="0" fontId="24" fillId="12" borderId="138" xfId="0" applyFont="1" applyFill="1" applyBorder="1" applyAlignment="1" applyProtection="1">
      <alignment horizontal="center" vertical="center" wrapText="1"/>
      <protection hidden="1"/>
    </xf>
    <xf numFmtId="0" fontId="24" fillId="12" borderId="139" xfId="0" applyFont="1" applyFill="1" applyBorder="1" applyAlignment="1" applyProtection="1">
      <alignment horizontal="center" vertical="center" wrapText="1"/>
      <protection hidden="1"/>
    </xf>
    <xf numFmtId="0" fontId="24" fillId="12" borderId="140" xfId="0" applyFont="1" applyFill="1" applyBorder="1" applyAlignment="1" applyProtection="1">
      <alignment horizontal="center" vertical="center" wrapText="1"/>
      <protection hidden="1"/>
    </xf>
    <xf numFmtId="0" fontId="24" fillId="12" borderId="141" xfId="0" applyFont="1" applyFill="1" applyBorder="1" applyAlignment="1" applyProtection="1">
      <alignment horizontal="center" vertical="center" wrapText="1"/>
      <protection hidden="1"/>
    </xf>
    <xf numFmtId="0" fontId="24" fillId="12" borderId="142" xfId="0" applyFont="1" applyFill="1" applyBorder="1" applyAlignment="1" applyProtection="1">
      <alignment horizontal="center" vertical="center" wrapText="1"/>
      <protection hidden="1"/>
    </xf>
    <xf numFmtId="0" fontId="24" fillId="12" borderId="143" xfId="0" applyFont="1" applyFill="1" applyBorder="1" applyAlignment="1" applyProtection="1">
      <alignment horizontal="center" vertical="center" wrapText="1"/>
      <protection hidden="1"/>
    </xf>
    <xf numFmtId="0" fontId="96" fillId="12" borderId="144" xfId="0" applyFont="1" applyFill="1" applyBorder="1" applyAlignment="1" applyProtection="1">
      <alignment horizontal="center" vertical="center" wrapText="1"/>
      <protection hidden="1"/>
    </xf>
    <xf numFmtId="0" fontId="96" fillId="12" borderId="145" xfId="0" applyFont="1" applyFill="1" applyBorder="1" applyAlignment="1" applyProtection="1">
      <alignment horizontal="center" vertical="center" wrapText="1"/>
      <protection hidden="1"/>
    </xf>
    <xf numFmtId="0" fontId="96" fillId="12" borderId="132" xfId="0" applyFont="1" applyFill="1" applyBorder="1" applyAlignment="1" applyProtection="1">
      <alignment horizontal="center" vertical="center" wrapText="1"/>
      <protection hidden="1"/>
    </xf>
    <xf numFmtId="0" fontId="96" fillId="12" borderId="146" xfId="0" applyFont="1" applyFill="1" applyBorder="1" applyAlignment="1" applyProtection="1">
      <alignment horizontal="center" vertical="center" wrapText="1"/>
      <protection hidden="1"/>
    </xf>
    <xf numFmtId="0" fontId="5" fillId="2" borderId="147" xfId="0" applyFont="1" applyFill="1" applyBorder="1" applyAlignment="1" applyProtection="1">
      <alignment horizontal="left" shrinkToFit="1"/>
      <protection locked="0" hidden="1"/>
    </xf>
    <xf numFmtId="0" fontId="62" fillId="0" borderId="0" xfId="0" applyFont="1" applyFill="1" applyAlignment="1" applyProtection="1">
      <alignment horizontal="center" vertical="center" wrapText="1"/>
      <protection hidden="1"/>
    </xf>
    <xf numFmtId="0" fontId="120" fillId="11" borderId="147" xfId="0" applyFont="1" applyFill="1" applyBorder="1" applyAlignment="1" applyProtection="1">
      <alignment horizontal="left" wrapText="1"/>
      <protection locked="0" hidden="1"/>
    </xf>
    <xf numFmtId="0" fontId="119" fillId="25" borderId="0" xfId="0" applyFont="1" applyFill="1" applyAlignment="1" applyProtection="1">
      <alignment horizontal="left" vertical="center" wrapText="1"/>
      <protection hidden="1"/>
    </xf>
    <xf numFmtId="0" fontId="120" fillId="11" borderId="148" xfId="0" applyFont="1" applyFill="1" applyBorder="1" applyAlignment="1" applyProtection="1">
      <alignment horizontal="left" wrapText="1"/>
      <protection locked="0" hidden="1"/>
    </xf>
    <xf numFmtId="0" fontId="78" fillId="8" borderId="0" xfId="0" applyFont="1" applyFill="1" applyAlignment="1" applyProtection="1">
      <alignment horizontal="left" wrapText="1"/>
      <protection hidden="1"/>
    </xf>
    <xf numFmtId="0" fontId="112" fillId="11" borderId="149" xfId="0" applyFont="1" applyFill="1" applyBorder="1" applyAlignment="1" applyProtection="1">
      <alignment horizontal="left" shrinkToFit="1"/>
      <protection locked="0"/>
    </xf>
    <xf numFmtId="0" fontId="112" fillId="11" borderId="135" xfId="0" applyFont="1" applyFill="1" applyBorder="1" applyAlignment="1" applyProtection="1">
      <alignment horizontal="left" shrinkToFit="1"/>
      <protection locked="0"/>
    </xf>
    <xf numFmtId="167" fontId="109" fillId="9" borderId="150" xfId="0" applyNumberFormat="1" applyFont="1" applyFill="1" applyBorder="1" applyAlignment="1" applyProtection="1">
      <alignment horizontal="center"/>
      <protection locked="0"/>
    </xf>
    <xf numFmtId="0" fontId="116" fillId="9" borderId="0" xfId="0" applyFont="1" applyFill="1" applyBorder="1" applyAlignment="1" applyProtection="1">
      <alignment horizontal="center" vertical="top"/>
      <protection locked="0" hidden="1"/>
    </xf>
    <xf numFmtId="0" fontId="116" fillId="9" borderId="0" xfId="0" applyFont="1" applyFill="1" applyAlignment="1">
      <alignment horizontal="center" vertical="top"/>
    </xf>
    <xf numFmtId="49" fontId="118" fillId="18" borderId="151" xfId="0" applyNumberFormat="1" applyFont="1" applyFill="1" applyBorder="1" applyAlignment="1">
      <alignment horizontal="center" vertical="center"/>
    </xf>
    <xf numFmtId="49" fontId="118" fillId="18" borderId="152" xfId="0" applyNumberFormat="1" applyFont="1" applyFill="1" applyBorder="1" applyAlignment="1">
      <alignment horizontal="center" vertical="center"/>
    </xf>
    <xf numFmtId="49" fontId="118" fillId="18" borderId="153" xfId="0" applyNumberFormat="1" applyFont="1" applyFill="1" applyBorder="1" applyAlignment="1">
      <alignment horizontal="center" vertical="center"/>
    </xf>
    <xf numFmtId="49" fontId="118" fillId="18" borderId="154" xfId="0" applyNumberFormat="1" applyFont="1" applyFill="1" applyBorder="1" applyAlignment="1">
      <alignment horizontal="center" vertical="center"/>
    </xf>
    <xf numFmtId="49" fontId="118" fillId="18" borderId="155" xfId="0" applyNumberFormat="1" applyFont="1" applyFill="1" applyBorder="1" applyAlignment="1">
      <alignment horizontal="center" vertical="center"/>
    </xf>
    <xf numFmtId="49" fontId="118" fillId="18" borderId="156" xfId="0" applyNumberFormat="1" applyFont="1" applyFill="1" applyBorder="1" applyAlignment="1">
      <alignment horizontal="center" vertical="center"/>
    </xf>
    <xf numFmtId="0" fontId="110" fillId="9" borderId="0" xfId="0" applyFont="1" applyFill="1" applyAlignment="1">
      <alignment horizontal="center"/>
    </xf>
    <xf numFmtId="49" fontId="19" fillId="2" borderId="0" xfId="0" applyNumberFormat="1" applyFont="1" applyFill="1" applyBorder="1" applyAlignment="1">
      <alignment horizontal="center" wrapText="1"/>
    </xf>
    <xf numFmtId="167" fontId="109" fillId="9" borderId="157" xfId="0" applyNumberFormat="1" applyFont="1" applyFill="1" applyBorder="1" applyAlignment="1" applyProtection="1">
      <alignment horizontal="center"/>
      <protection locked="0"/>
    </xf>
    <xf numFmtId="3" fontId="109" fillId="4" borderId="158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52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53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59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60" xfId="0" applyNumberFormat="1" applyFont="1" applyFill="1" applyBorder="1" applyAlignment="1" applyProtection="1">
      <alignment horizontal="center" vertical="center"/>
      <protection locked="0" hidden="1"/>
    </xf>
    <xf numFmtId="0" fontId="13" fillId="12" borderId="161" xfId="0" applyFont="1" applyFill="1" applyBorder="1" applyAlignment="1">
      <alignment horizontal="center" vertical="center" wrapText="1"/>
    </xf>
    <xf numFmtId="0" fontId="13" fillId="12" borderId="162" xfId="0" applyFont="1" applyFill="1" applyBorder="1" applyAlignment="1">
      <alignment horizontal="center" vertical="center" wrapText="1"/>
    </xf>
    <xf numFmtId="0" fontId="13" fillId="12" borderId="163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wrapText="1"/>
    </xf>
    <xf numFmtId="0" fontId="13" fillId="12" borderId="164" xfId="0" applyFont="1" applyFill="1" applyBorder="1" applyAlignment="1">
      <alignment horizontal="center" vertical="center" wrapText="1"/>
    </xf>
    <xf numFmtId="0" fontId="13" fillId="12" borderId="165" xfId="0" applyFont="1" applyFill="1" applyBorder="1" applyAlignment="1">
      <alignment horizontal="center" vertical="center" wrapText="1"/>
    </xf>
    <xf numFmtId="49" fontId="118" fillId="18" borderId="166" xfId="0" applyNumberFormat="1" applyFont="1" applyFill="1" applyBorder="1" applyAlignment="1">
      <alignment horizontal="center" vertical="center"/>
    </xf>
    <xf numFmtId="49" fontId="118" fillId="18" borderId="167" xfId="0" applyNumberFormat="1" applyFont="1" applyFill="1" applyBorder="1" applyAlignment="1">
      <alignment horizontal="center" vertical="center"/>
    </xf>
    <xf numFmtId="49" fontId="118" fillId="18" borderId="168" xfId="0" applyNumberFormat="1" applyFont="1" applyFill="1" applyBorder="1" applyAlignment="1">
      <alignment horizontal="center" vertical="center"/>
    </xf>
    <xf numFmtId="49" fontId="118" fillId="18" borderId="169" xfId="0" applyNumberFormat="1" applyFont="1" applyFill="1" applyBorder="1" applyAlignment="1">
      <alignment horizontal="center" vertical="center"/>
    </xf>
    <xf numFmtId="49" fontId="118" fillId="18" borderId="170" xfId="0" applyNumberFormat="1" applyFont="1" applyFill="1" applyBorder="1" applyAlignment="1">
      <alignment horizontal="center" vertical="center"/>
    </xf>
    <xf numFmtId="49" fontId="118" fillId="18" borderId="171" xfId="0" applyNumberFormat="1" applyFont="1" applyFill="1" applyBorder="1" applyAlignment="1">
      <alignment horizontal="center" vertical="center"/>
    </xf>
    <xf numFmtId="0" fontId="16" fillId="9" borderId="150" xfId="0" applyFont="1" applyFill="1" applyBorder="1" applyAlignment="1" applyProtection="1">
      <alignment horizontal="left"/>
      <protection locked="0" hidden="1"/>
    </xf>
    <xf numFmtId="0" fontId="13" fillId="9" borderId="17" xfId="0" applyFont="1" applyFill="1" applyBorder="1" applyAlignment="1">
      <alignment horizontal="center" vertical="center"/>
    </xf>
    <xf numFmtId="3" fontId="109" fillId="4" borderId="172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67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3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4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5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6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0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7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8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1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68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79" xfId="0" applyNumberFormat="1" applyFont="1" applyFill="1" applyBorder="1" applyAlignment="1" applyProtection="1">
      <alignment horizontal="center" vertical="center"/>
      <protection locked="0" hidden="1"/>
    </xf>
    <xf numFmtId="0" fontId="13" fillId="12" borderId="180" xfId="0" applyFont="1" applyFill="1" applyBorder="1" applyAlignment="1">
      <alignment horizontal="center" vertical="center" wrapText="1"/>
    </xf>
    <xf numFmtId="0" fontId="13" fillId="12" borderId="181" xfId="0" applyFont="1" applyFill="1" applyBorder="1" applyAlignment="1">
      <alignment horizontal="center" vertical="center" wrapText="1"/>
    </xf>
    <xf numFmtId="0" fontId="13" fillId="12" borderId="182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49" fontId="13" fillId="9" borderId="17" xfId="0" applyNumberFormat="1" applyFont="1" applyFill="1" applyBorder="1" applyAlignment="1">
      <alignment horizontal="center" vertical="center"/>
    </xf>
    <xf numFmtId="0" fontId="6" fillId="9" borderId="157" xfId="0" applyFont="1" applyFill="1" applyBorder="1" applyAlignment="1" applyProtection="1">
      <alignment horizontal="left"/>
      <protection locked="0" hidden="1"/>
    </xf>
    <xf numFmtId="0" fontId="116" fillId="9" borderId="0" xfId="0" applyFont="1" applyFill="1" applyBorder="1" applyAlignment="1">
      <alignment horizontal="center" vertical="top"/>
    </xf>
    <xf numFmtId="3" fontId="109" fillId="4" borderId="183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84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55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56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85" xfId="0" applyNumberFormat="1" applyFont="1" applyFill="1" applyBorder="1" applyAlignment="1" applyProtection="1">
      <alignment horizontal="center" vertical="center"/>
      <protection locked="0" hidden="1"/>
    </xf>
    <xf numFmtId="0" fontId="117" fillId="0" borderId="0" xfId="0" applyFont="1" applyAlignment="1">
      <alignment horizontal="left" vertical="center" wrapText="1"/>
    </xf>
    <xf numFmtId="0" fontId="100" fillId="9" borderId="0" xfId="0" applyFont="1" applyFill="1" applyAlignment="1">
      <alignment horizontal="left" vertical="top" wrapText="1"/>
    </xf>
    <xf numFmtId="0" fontId="62" fillId="2" borderId="0" xfId="0" applyFont="1" applyFill="1" applyAlignment="1">
      <alignment horizontal="center" vertical="center"/>
    </xf>
    <xf numFmtId="0" fontId="40" fillId="8" borderId="0" xfId="0" applyFont="1" applyFill="1" applyAlignment="1">
      <alignment vertical="center" wrapText="1"/>
    </xf>
    <xf numFmtId="0" fontId="111" fillId="25" borderId="186" xfId="0" applyFont="1" applyFill="1" applyBorder="1" applyAlignment="1">
      <alignment horizontal="left" vertical="center" wrapText="1"/>
    </xf>
    <xf numFmtId="3" fontId="109" fillId="4" borderId="187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88" xfId="0" applyNumberFormat="1" applyFont="1" applyFill="1" applyBorder="1" applyAlignment="1" applyProtection="1">
      <alignment horizontal="center" vertical="center"/>
      <protection locked="0" hidden="1"/>
    </xf>
    <xf numFmtId="0" fontId="29" fillId="9" borderId="0" xfId="0" applyFont="1" applyFill="1" applyAlignment="1">
      <alignment horizontal="center"/>
    </xf>
    <xf numFmtId="0" fontId="62" fillId="2" borderId="0" xfId="0" applyFont="1" applyFill="1" applyAlignment="1">
      <alignment horizontal="center"/>
    </xf>
    <xf numFmtId="0" fontId="116" fillId="9" borderId="0" xfId="0" applyFont="1" applyFill="1" applyBorder="1" applyAlignment="1" applyProtection="1">
      <alignment horizontal="center" vertical="top"/>
      <protection hidden="1"/>
    </xf>
    <xf numFmtId="49" fontId="123" fillId="18" borderId="189" xfId="0" applyNumberFormat="1" applyFont="1" applyFill="1" applyBorder="1" applyAlignment="1">
      <alignment horizontal="center" vertical="center" shrinkToFit="1"/>
    </xf>
    <xf numFmtId="49" fontId="123" fillId="18" borderId="190" xfId="0" applyNumberFormat="1" applyFont="1" applyFill="1" applyBorder="1" applyAlignment="1">
      <alignment horizontal="center" vertical="center" shrinkToFit="1"/>
    </xf>
    <xf numFmtId="49" fontId="123" fillId="18" borderId="191" xfId="0" applyNumberFormat="1" applyFont="1" applyFill="1" applyBorder="1" applyAlignment="1">
      <alignment horizontal="center" vertical="center" shrinkToFit="1"/>
    </xf>
    <xf numFmtId="3" fontId="109" fillId="4" borderId="192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93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94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95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96" xfId="0" applyNumberFormat="1" applyFont="1" applyFill="1" applyBorder="1" applyAlignment="1" applyProtection="1">
      <alignment horizontal="center" vertical="center"/>
      <protection locked="0" hidden="1"/>
    </xf>
    <xf numFmtId="3" fontId="109" fillId="4" borderId="197" xfId="0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horizontal="left" vertical="center" wrapText="1" shrinkToFit="1"/>
      <protection hidden="1"/>
    </xf>
    <xf numFmtId="0" fontId="113" fillId="25" borderId="0" xfId="0" applyFont="1" applyFill="1" applyBorder="1" applyAlignment="1" applyProtection="1">
      <alignment horizontal="left" vertical="center" wrapText="1"/>
      <protection hidden="1"/>
    </xf>
    <xf numFmtId="0" fontId="90" fillId="2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horizontal="left" vertical="top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2" fillId="4" borderId="198" xfId="0" applyFont="1" applyFill="1" applyBorder="1" applyAlignment="1" applyProtection="1">
      <alignment horizontal="center" vertical="center" wrapText="1"/>
      <protection hidden="1"/>
    </xf>
    <xf numFmtId="0" fontId="2" fillId="4" borderId="199" xfId="0" applyFont="1" applyFill="1" applyBorder="1" applyAlignment="1" applyProtection="1">
      <alignment horizontal="center" vertical="center" wrapText="1"/>
      <protection hidden="1"/>
    </xf>
    <xf numFmtId="0" fontId="2" fillId="4" borderId="200" xfId="0" applyFont="1" applyFill="1" applyBorder="1" applyAlignment="1" applyProtection="1">
      <alignment horizontal="center" vertical="center" wrapText="1"/>
      <protection hidden="1"/>
    </xf>
    <xf numFmtId="0" fontId="6" fillId="13" borderId="201" xfId="0" applyFont="1" applyFill="1" applyBorder="1" applyAlignment="1" applyProtection="1">
      <alignment horizontal="center" vertical="center" wrapText="1"/>
      <protection hidden="1"/>
    </xf>
    <xf numFmtId="0" fontId="6" fillId="13" borderId="202" xfId="0" applyFont="1" applyFill="1" applyBorder="1" applyAlignment="1" applyProtection="1">
      <alignment horizontal="center" vertical="center" wrapText="1"/>
      <protection hidden="1"/>
    </xf>
    <xf numFmtId="0" fontId="9" fillId="2" borderId="0" xfId="0" applyFont="1" applyFill="1" applyBorder="1" applyAlignment="1" applyProtection="1">
      <alignment horizontal="left" wrapText="1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left" wrapText="1"/>
      <protection hidden="1"/>
    </xf>
    <xf numFmtId="0" fontId="9" fillId="2" borderId="0" xfId="0" applyFont="1" applyFill="1" applyBorder="1" applyAlignment="1" applyProtection="1">
      <alignment horizontal="center" wrapText="1"/>
      <protection hidden="1"/>
    </xf>
    <xf numFmtId="0" fontId="6" fillId="13" borderId="203" xfId="0" applyFont="1" applyFill="1" applyBorder="1" applyAlignment="1" applyProtection="1">
      <alignment horizontal="center" vertical="center" wrapText="1"/>
      <protection hidden="1"/>
    </xf>
    <xf numFmtId="0" fontId="6" fillId="13" borderId="204" xfId="0" applyFont="1" applyFill="1" applyBorder="1" applyAlignment="1" applyProtection="1">
      <alignment horizontal="center" vertical="center" wrapText="1"/>
      <protection hidden="1"/>
    </xf>
    <xf numFmtId="0" fontId="121" fillId="2" borderId="0" xfId="0" applyFont="1" applyFill="1" applyBorder="1" applyAlignment="1" applyProtection="1">
      <alignment horizontal="center" vertical="center" shrinkToFit="1"/>
      <protection hidden="1"/>
    </xf>
    <xf numFmtId="0" fontId="6" fillId="12" borderId="205" xfId="0" applyFont="1" applyFill="1" applyBorder="1" applyAlignment="1" applyProtection="1">
      <alignment horizontal="center" vertical="center" wrapText="1"/>
      <protection hidden="1"/>
    </xf>
    <xf numFmtId="0" fontId="6" fillId="12" borderId="206" xfId="0" applyFont="1" applyFill="1" applyBorder="1" applyAlignment="1" applyProtection="1">
      <alignment horizontal="center" vertical="center" wrapText="1"/>
      <protection hidden="1"/>
    </xf>
    <xf numFmtId="0" fontId="6" fillId="12" borderId="207" xfId="0" applyFont="1" applyFill="1" applyBorder="1" applyAlignment="1" applyProtection="1">
      <alignment horizontal="center" vertical="center" textRotation="90" wrapText="1"/>
      <protection hidden="1"/>
    </xf>
    <xf numFmtId="0" fontId="6" fillId="12" borderId="19" xfId="0" applyFont="1" applyFill="1" applyBorder="1" applyAlignment="1" applyProtection="1">
      <alignment horizontal="center" vertical="center" textRotation="90" wrapText="1"/>
      <protection hidden="1"/>
    </xf>
    <xf numFmtId="0" fontId="6" fillId="12" borderId="207" xfId="0" applyFont="1" applyFill="1" applyBorder="1" applyAlignment="1" applyProtection="1">
      <alignment horizontal="center" vertical="center" wrapText="1"/>
      <protection hidden="1"/>
    </xf>
    <xf numFmtId="0" fontId="6" fillId="12" borderId="19" xfId="0" applyFont="1" applyFill="1" applyBorder="1" applyAlignment="1" applyProtection="1">
      <alignment horizontal="center" vertical="center" wrapText="1"/>
      <protection hidden="1"/>
    </xf>
    <xf numFmtId="0" fontId="6" fillId="12" borderId="208" xfId="0" applyFont="1" applyFill="1" applyBorder="1" applyAlignment="1" applyProtection="1">
      <alignment horizontal="center" vertical="center" wrapText="1"/>
      <protection hidden="1"/>
    </xf>
    <xf numFmtId="0" fontId="6" fillId="13" borderId="209" xfId="0" applyFont="1" applyFill="1" applyBorder="1" applyAlignment="1" applyProtection="1">
      <alignment horizontal="center" vertical="center" wrapText="1"/>
      <protection hidden="1"/>
    </xf>
    <xf numFmtId="0" fontId="6" fillId="13" borderId="210" xfId="0" applyFont="1" applyFill="1" applyBorder="1" applyAlignment="1" applyProtection="1">
      <alignment horizontal="center" vertical="center" wrapText="1"/>
      <protection hidden="1"/>
    </xf>
    <xf numFmtId="0" fontId="115" fillId="2" borderId="0" xfId="0" applyFont="1" applyFill="1" applyAlignment="1" applyProtection="1">
      <alignment horizontal="center" vertical="center" wrapText="1"/>
      <protection hidden="1"/>
    </xf>
    <xf numFmtId="0" fontId="34" fillId="2" borderId="0" xfId="0" applyFont="1" applyFill="1" applyAlignment="1" applyProtection="1">
      <alignment horizontal="center" vertical="center" wrapText="1"/>
      <protection hidden="1"/>
    </xf>
    <xf numFmtId="0" fontId="9" fillId="7" borderId="0" xfId="0" applyFont="1" applyFill="1" applyAlignment="1" applyProtection="1">
      <alignment horizontal="center" vertical="center" wrapText="1"/>
      <protection hidden="1"/>
    </xf>
    <xf numFmtId="0" fontId="6" fillId="7" borderId="79" xfId="0" applyFont="1" applyFill="1" applyBorder="1" applyAlignment="1" applyProtection="1">
      <alignment horizontal="left" shrinkToFit="1"/>
      <protection locked="0" hidden="1"/>
    </xf>
    <xf numFmtId="0" fontId="6" fillId="7" borderId="211" xfId="0" applyFont="1" applyFill="1" applyBorder="1" applyAlignment="1" applyProtection="1">
      <alignment horizontal="left" shrinkToFit="1"/>
      <protection locked="0" hidden="1"/>
    </xf>
    <xf numFmtId="0" fontId="5" fillId="7" borderId="0" xfId="0" applyFont="1" applyFill="1" applyAlignment="1" applyProtection="1">
      <alignment horizontal="center" vertical="top" wrapText="1"/>
      <protection hidden="1"/>
    </xf>
    <xf numFmtId="0" fontId="120" fillId="11" borderId="147" xfId="0" applyFont="1" applyFill="1" applyBorder="1" applyAlignment="1" applyProtection="1">
      <alignment horizontal="left" shrinkToFit="1"/>
      <protection locked="0" hidden="1"/>
    </xf>
    <xf numFmtId="0" fontId="2" fillId="18" borderId="212" xfId="0" applyFont="1" applyFill="1" applyBorder="1" applyAlignment="1" applyProtection="1">
      <alignment horizontal="center" vertical="center" wrapText="1"/>
      <protection hidden="1"/>
    </xf>
    <xf numFmtId="0" fontId="2" fillId="18" borderId="213" xfId="0" applyFont="1" applyFill="1" applyBorder="1" applyAlignment="1" applyProtection="1">
      <alignment horizontal="center" vertical="center" wrapText="1"/>
      <protection hidden="1"/>
    </xf>
    <xf numFmtId="0" fontId="40" fillId="8" borderId="0" xfId="0" applyFont="1" applyFill="1" applyAlignment="1" applyProtection="1">
      <alignment horizontal="left" vertical="center" wrapText="1"/>
      <protection hidden="1"/>
    </xf>
    <xf numFmtId="0" fontId="67" fillId="0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vertical="center" wrapText="1" shrinkToFit="1"/>
      <protection hidden="1"/>
    </xf>
    <xf numFmtId="0" fontId="62" fillId="2" borderId="0" xfId="0" applyFont="1" applyFill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left" vertical="center" shrinkToFit="1"/>
      <protection hidden="1"/>
    </xf>
    <xf numFmtId="0" fontId="61" fillId="0" borderId="0" xfId="0" applyFont="1" applyAlignment="1" applyProtection="1">
      <alignment vertical="center" wrapText="1" shrinkToFit="1"/>
      <protection hidden="1"/>
    </xf>
    <xf numFmtId="0" fontId="126" fillId="2" borderId="0" xfId="0" applyFont="1" applyFill="1" applyBorder="1" applyAlignment="1" applyProtection="1">
      <alignment horizontal="center" vertical="center" wrapText="1"/>
      <protection hidden="1"/>
    </xf>
    <xf numFmtId="0" fontId="62" fillId="0" borderId="0" xfId="0" applyFont="1" applyAlignment="1" applyProtection="1">
      <alignment horizontal="center" vertical="center" wrapText="1"/>
      <protection hidden="1"/>
    </xf>
    <xf numFmtId="0" fontId="35" fillId="2" borderId="0" xfId="0" applyFont="1" applyFill="1" applyBorder="1" applyAlignment="1" applyProtection="1">
      <alignment horizontal="center" vertical="center" wrapText="1"/>
      <protection hidden="1"/>
    </xf>
    <xf numFmtId="0" fontId="15" fillId="12" borderId="214" xfId="0" applyFont="1" applyFill="1" applyBorder="1" applyAlignment="1" applyProtection="1">
      <alignment horizontal="center" vertical="center" wrapText="1"/>
      <protection hidden="1"/>
    </xf>
    <xf numFmtId="0" fontId="15" fillId="12" borderId="215" xfId="0" applyFont="1" applyFill="1" applyBorder="1" applyAlignment="1" applyProtection="1">
      <alignment horizontal="center" vertical="center" wrapText="1"/>
      <protection hidden="1"/>
    </xf>
    <xf numFmtId="0" fontId="15" fillId="12" borderId="216" xfId="0" applyFont="1" applyFill="1" applyBorder="1" applyAlignment="1" applyProtection="1">
      <alignment horizontal="center" vertical="center" wrapText="1"/>
      <protection hidden="1"/>
    </xf>
    <xf numFmtId="0" fontId="15" fillId="12" borderId="69" xfId="0" applyFont="1" applyFill="1" applyBorder="1" applyAlignment="1" applyProtection="1">
      <alignment horizontal="center" vertical="center" wrapText="1"/>
      <protection hidden="1"/>
    </xf>
    <xf numFmtId="0" fontId="15" fillId="12" borderId="217" xfId="0" applyFont="1" applyFill="1" applyBorder="1" applyAlignment="1" applyProtection="1">
      <alignment horizontal="center" vertical="center" wrapText="1"/>
      <protection hidden="1"/>
    </xf>
    <xf numFmtId="0" fontId="104" fillId="8" borderId="218" xfId="0" applyFont="1" applyFill="1" applyBorder="1" applyAlignment="1" applyProtection="1">
      <alignment horizontal="center" vertical="center" shrinkToFit="1"/>
      <protection hidden="1"/>
    </xf>
    <xf numFmtId="0" fontId="126" fillId="8" borderId="0" xfId="0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left" vertical="center" wrapText="1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right" shrinkToFit="1"/>
      <protection hidden="1"/>
    </xf>
    <xf numFmtId="0" fontId="16" fillId="12" borderId="161" xfId="0" applyFont="1" applyFill="1" applyBorder="1" applyAlignment="1" applyProtection="1">
      <alignment horizontal="center" vertical="center" wrapText="1"/>
      <protection hidden="1"/>
    </xf>
    <xf numFmtId="0" fontId="16" fillId="12" borderId="163" xfId="0" applyFont="1" applyFill="1" applyBorder="1" applyAlignment="1" applyProtection="1">
      <alignment horizontal="center" vertical="center" wrapText="1"/>
      <protection hidden="1"/>
    </xf>
    <xf numFmtId="0" fontId="16" fillId="12" borderId="219" xfId="0" applyFont="1" applyFill="1" applyBorder="1" applyAlignment="1" applyProtection="1">
      <alignment horizontal="center" vertical="center" wrapText="1"/>
      <protection hidden="1"/>
    </xf>
    <xf numFmtId="0" fontId="16" fillId="12" borderId="162" xfId="0" applyFont="1" applyFill="1" applyBorder="1" applyAlignment="1" applyProtection="1">
      <alignment horizontal="center" vertical="center" wrapText="1"/>
      <protection hidden="1"/>
    </xf>
    <xf numFmtId="0" fontId="16" fillId="12" borderId="1" xfId="0" applyFont="1" applyFill="1" applyBorder="1" applyAlignment="1" applyProtection="1">
      <alignment horizontal="center" vertical="center" wrapText="1"/>
      <protection hidden="1"/>
    </xf>
    <xf numFmtId="0" fontId="16" fillId="12" borderId="74" xfId="0" applyFont="1" applyFill="1" applyBorder="1" applyAlignment="1" applyProtection="1">
      <alignment horizontal="center" vertical="center" wrapText="1"/>
      <protection hidden="1"/>
    </xf>
    <xf numFmtId="0" fontId="16" fillId="12" borderId="180" xfId="0" applyFont="1" applyFill="1" applyBorder="1" applyAlignment="1" applyProtection="1">
      <alignment horizontal="center" vertical="center" wrapText="1"/>
      <protection hidden="1"/>
    </xf>
    <xf numFmtId="0" fontId="16" fillId="12" borderId="181" xfId="0" applyFont="1" applyFill="1" applyBorder="1" applyAlignment="1" applyProtection="1">
      <alignment horizontal="center" vertical="center" wrapText="1"/>
      <protection hidden="1"/>
    </xf>
    <xf numFmtId="0" fontId="16" fillId="12" borderId="220" xfId="0" applyFont="1" applyFill="1" applyBorder="1" applyAlignment="1" applyProtection="1">
      <alignment horizontal="center" vertical="center" wrapText="1"/>
      <protection hidden="1"/>
    </xf>
    <xf numFmtId="0" fontId="20" fillId="12" borderId="1" xfId="0" applyFont="1" applyFill="1" applyBorder="1" applyAlignment="1" applyProtection="1">
      <alignment horizontal="center" vertical="center" wrapText="1"/>
      <protection hidden="1"/>
    </xf>
    <xf numFmtId="0" fontId="68" fillId="2" borderId="0" xfId="0" applyFont="1" applyFill="1" applyAlignment="1" applyProtection="1">
      <alignment horizontal="center" vertical="center" wrapText="1"/>
      <protection hidden="1"/>
    </xf>
  </cellXfs>
  <cellStyles count="3">
    <cellStyle name="Обычный" xfId="0" builtinId="0"/>
    <cellStyle name="Обычный 2" xfId="1"/>
    <cellStyle name="Обычный_Q" xfId="2"/>
  </cellStyles>
  <dxfs count="2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numFmt numFmtId="35" formatCode="_-* #,##0.00_р_._-;\-* #,##0.00_р_._-;_-* &quot;-&quot;??_р_._-;_-@_-"/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9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numFmt numFmtId="35" formatCode="_-* #,##0.00_р_._-;\-* #,##0.00_р_._-;_-* &quot;-&quot;??_р_._-;_-@_-"/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9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numFmt numFmtId="35" formatCode="_-* #,##0.00_р_._-;\-* #,##0.00_р_._-;_-* &quot;-&quot;??_р_._-;_-@_-"/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9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numFmt numFmtId="35" formatCode="_-* #,##0.00_р_._-;\-* #,##0.00_р_._-;_-* &quot;-&quot;??_р_._-;_-@_-"/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9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numFmt numFmtId="35" formatCode="_-* #,##0.00_р_._-;\-* #,##0.00_р_._-;_-* &quot;-&quot;??_р_._-;_-@_-"/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9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fill>
        <patternFill patternType="solid">
          <fgColor indexed="64"/>
          <bgColor indexed="31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scheme val="none"/>
      </font>
      <fill>
        <patternFill patternType="solid">
          <fgColor indexed="64"/>
          <bgColor indexed="31"/>
        </patternFill>
      </fill>
      <alignment horizontal="center" vertical="center" textRotation="0" wrapText="0" relativeIndent="0" justifyLastLine="0" shrinkToFit="1" readingOrder="0"/>
      <protection locked="0" hidden="1"/>
    </dxf>
    <dxf>
      <border outline="0"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fill>
        <patternFill patternType="solid">
          <fgColor indexed="64"/>
          <bgColor indexed="13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color indexed="13"/>
      </font>
      <fill>
        <patternFill>
          <bgColor indexed="16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rgb="FFFFFFFF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lor rgb="FFFFFF00"/>
      </font>
      <fill>
        <patternFill>
          <bgColor rgb="FF800000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  <border>
        <bottom style="thin">
          <color indexed="41"/>
        </bottom>
      </border>
    </dxf>
    <dxf>
      <font>
        <color indexed="13"/>
      </font>
      <fill>
        <patternFill>
          <bgColor indexed="16"/>
        </patternFill>
      </fill>
      <border>
        <bottom style="thin">
          <color indexed="41"/>
        </bottom>
      </border>
    </dxf>
    <dxf>
      <font>
        <color indexed="13"/>
      </font>
      <fill>
        <patternFill>
          <bgColor indexed="16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42"/>
          <bgColor indexed="16"/>
        </patternFill>
      </fill>
    </dxf>
    <dxf>
      <font>
        <color indexed="13"/>
      </font>
      <fill>
        <patternFill patternType="solid">
          <fgColor indexed="64"/>
          <bgColor indexed="16"/>
        </patternFill>
      </fill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b/>
        <i val="0"/>
        <color indexed="13"/>
      </font>
      <fill>
        <patternFill>
          <bgColor indexed="37"/>
        </patternFill>
      </fill>
    </dxf>
    <dxf>
      <font>
        <color theme="0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</dxf>
    <dxf>
      <font>
        <color indexed="13"/>
      </font>
      <fill>
        <patternFill>
          <bgColor indexed="16"/>
        </patternFill>
      </fill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  <border>
        <bottom style="thin">
          <color indexed="26"/>
        </bottom>
      </border>
    </dxf>
    <dxf>
      <font>
        <condense val="0"/>
        <extend val="0"/>
        <color indexed="13"/>
      </font>
      <fill>
        <patternFill>
          <bgColor indexed="16"/>
        </patternFill>
      </fill>
      <border>
        <bottom style="thin">
          <color indexed="26"/>
        </bottom>
      </border>
    </dxf>
    <dxf>
      <font>
        <color indexed="13"/>
      </font>
      <fill>
        <patternFill>
          <bgColor indexed="16"/>
        </patternFill>
      </fill>
      <border>
        <bottom style="thin">
          <color indexed="26"/>
        </bottom>
      </border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  <border>
        <bottom style="thin">
          <color indexed="26"/>
        </bottom>
      </border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  <border>
        <bottom style="thin">
          <color indexed="26"/>
        </bottom>
      </border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6"/>
        </patternFill>
      </fill>
    </dxf>
    <dxf>
      <font>
        <condense val="0"/>
        <extend val="0"/>
        <color indexed="9"/>
      </font>
      <border>
        <bottom/>
      </border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bottom style="hair">
          <color indexed="9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37"/>
        </patternFill>
      </fill>
      <border>
        <left/>
        <right/>
        <top/>
        <bottom/>
      </border>
    </dxf>
    <dxf>
      <font>
        <color rgb="FF99CCFF"/>
      </font>
      <fill>
        <patternFill>
          <bgColor rgb="FF99CCFF"/>
        </patternFill>
      </fill>
    </dxf>
    <dxf>
      <font>
        <color rgb="FF99CCFF"/>
      </font>
      <fill>
        <patternFill>
          <bgColor rgb="FF99CCFF"/>
        </patternFill>
      </fill>
    </dxf>
    <dxf>
      <font>
        <condense val="0"/>
        <extend val="0"/>
        <color indexed="9"/>
      </font>
    </dxf>
    <dxf>
      <fill>
        <patternFill patternType="darkGray">
          <fgColor indexed="31"/>
          <bgColor indexed="44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ill>
        <patternFill patternType="darkGray">
          <fgColor indexed="31"/>
          <bgColor indexed="44"/>
        </patternFill>
      </fill>
      <border>
        <left/>
        <right/>
        <top/>
        <bottom/>
      </border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13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ill>
        <patternFill>
          <bgColor indexed="22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 patternType="darkGray">
          <fgColor indexed="31"/>
          <bgColor indexed="44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13"/>
      </font>
      <fill>
        <patternFill>
          <bgColor indexed="37"/>
        </patternFill>
      </fill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</dxf>
    <dxf>
      <font>
        <condense val="0"/>
        <extend val="0"/>
        <color indexed="31"/>
      </font>
      <border>
        <left/>
        <right/>
        <top/>
        <bottom/>
      </border>
    </dxf>
    <dxf>
      <font>
        <condense val="0"/>
        <extend val="0"/>
        <color indexed="31"/>
      </font>
      <border>
        <left/>
        <right/>
        <top/>
        <bottom/>
      </border>
    </dxf>
    <dxf>
      <font>
        <b/>
        <i val="0"/>
        <condense val="0"/>
        <extend val="0"/>
        <color indexed="13"/>
      </font>
      <fill>
        <patternFill>
          <bgColor indexed="16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ont>
        <b/>
        <i val="0"/>
        <strike val="0"/>
        <condense val="0"/>
        <extend val="0"/>
        <color auto="1"/>
      </font>
      <fill>
        <patternFill>
          <bgColor indexed="13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ont>
        <strike val="0"/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55"/>
        </patternFill>
      </fill>
    </dxf>
    <dxf>
      <fill>
        <patternFill>
          <bgColor indexed="26"/>
        </patternFill>
      </fill>
    </dxf>
    <dxf>
      <fill>
        <patternFill>
          <bgColor indexed="9"/>
        </patternFill>
      </fill>
    </dxf>
    <dxf>
      <font>
        <condense val="0"/>
        <extend val="0"/>
        <color indexed="26"/>
      </font>
      <border>
        <left/>
        <right/>
        <top/>
        <bottom style="hair">
          <color indexed="26"/>
        </bottom>
      </border>
    </dxf>
    <dxf>
      <fill>
        <patternFill>
          <bgColor indexed="9"/>
        </patternFill>
      </fill>
    </dxf>
    <dxf>
      <font>
        <condense val="0"/>
        <extend val="0"/>
        <color indexed="26"/>
      </font>
      <border>
        <bottom style="hair">
          <color indexed="26"/>
        </bottom>
      </border>
    </dxf>
    <dxf>
      <fill>
        <patternFill>
          <bgColor indexed="9"/>
        </patternFill>
      </fill>
    </dxf>
    <dxf>
      <font>
        <condense val="0"/>
        <extend val="0"/>
        <color indexed="26"/>
      </font>
      <border>
        <bottom style="hair">
          <color indexed="26"/>
        </bottom>
      </border>
    </dxf>
    <dxf>
      <fill>
        <patternFill>
          <bgColor indexed="9"/>
        </patternFill>
      </fill>
    </dxf>
    <dxf>
      <font>
        <condense val="0"/>
        <extend val="0"/>
        <color indexed="26"/>
      </font>
      <border>
        <left/>
        <right/>
        <top/>
        <bottom/>
      </border>
    </dxf>
    <dxf>
      <fill>
        <patternFill>
          <bgColor indexed="55"/>
        </patternFill>
      </fill>
    </dxf>
    <dxf>
      <fill>
        <patternFill>
          <bgColor indexed="26"/>
        </patternFill>
      </fill>
    </dxf>
    <dxf>
      <fill>
        <patternFill>
          <bgColor indexed="9"/>
        </patternFill>
      </fill>
    </dxf>
    <dxf>
      <font>
        <color indexed="26"/>
      </font>
      <fill>
        <patternFill>
          <bgColor indexed="26"/>
        </patternFill>
      </fill>
      <border>
        <left/>
        <right/>
        <top/>
        <bottom/>
      </border>
    </dxf>
    <dxf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  <border>
        <left/>
        <right/>
        <top/>
        <bottom/>
      </border>
    </dxf>
    <dxf>
      <font>
        <condense val="0"/>
        <extend val="0"/>
        <color auto="1"/>
      </font>
    </dxf>
    <dxf>
      <font>
        <condense val="0"/>
        <extend val="0"/>
        <color auto="1"/>
      </font>
      <fill>
        <patternFill patternType="solid">
          <fgColor indexed="26"/>
          <bgColor indexed="9"/>
        </patternFill>
      </fill>
    </dxf>
    <dxf>
      <border>
        <top style="thin">
          <color indexed="26"/>
        </top>
      </border>
    </dxf>
    <dxf>
      <font>
        <b val="0"/>
        <i val="0"/>
        <condense val="0"/>
        <extend val="0"/>
        <color indexed="26"/>
      </font>
      <border>
        <left/>
        <right/>
        <top/>
        <bottom/>
      </border>
    </dxf>
    <dxf>
      <font>
        <b val="0"/>
        <i val="0"/>
        <condense val="0"/>
        <extend val="0"/>
        <color indexed="26"/>
      </font>
      <border>
        <top style="hair">
          <color indexed="26"/>
        </top>
      </border>
    </dxf>
    <dxf>
      <font>
        <color indexed="26"/>
      </font>
    </dxf>
    <dxf>
      <font>
        <color indexed="26"/>
      </font>
    </dxf>
    <dxf>
      <font>
        <color indexed="26"/>
      </font>
    </dxf>
    <dxf>
      <font>
        <condense val="0"/>
        <extend val="0"/>
        <color indexed="26"/>
      </font>
    </dxf>
    <dxf>
      <font>
        <color indexed="26"/>
      </font>
    </dxf>
    <dxf>
      <font>
        <condense val="0"/>
        <extend val="0"/>
        <color indexed="26"/>
      </font>
    </dxf>
    <dxf>
      <font>
        <color indexed="26"/>
      </font>
    </dxf>
    <dxf>
      <font>
        <condense val="0"/>
        <extend val="0"/>
        <color indexed="26"/>
      </font>
    </dxf>
    <dxf>
      <font>
        <color indexed="26"/>
      </font>
    </dxf>
    <dxf>
      <font>
        <color indexed="26"/>
      </font>
    </dxf>
    <dxf>
      <font>
        <color indexed="26"/>
      </font>
    </dxf>
    <dxf>
      <font>
        <color indexed="26"/>
      </font>
    </dxf>
    <dxf>
      <font>
        <color indexed="26"/>
      </font>
    </dxf>
    <dxf>
      <font>
        <b/>
        <i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auto="1"/>
      </font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  <dxf>
      <font>
        <color indexed="26"/>
      </font>
      <border>
        <bottom style="hair">
          <color indexed="26"/>
        </bottom>
      </border>
    </dxf>
    <dxf>
      <font>
        <b val="0"/>
        <i val="0"/>
        <condense val="0"/>
        <extend val="0"/>
        <color auto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FFFFCC"/>
      </font>
    </dxf>
    <dxf>
      <font>
        <color rgb="FFFFFFCC"/>
      </font>
    </dxf>
    <dxf>
      <font>
        <color rgb="FFFFFFCC"/>
      </font>
    </dxf>
    <dxf>
      <border>
        <top style="thin">
          <color rgb="FFFFFFCC"/>
        </top>
      </border>
    </dxf>
    <dxf>
      <font>
        <condense val="0"/>
        <extend val="0"/>
        <color indexed="13"/>
      </font>
      <fill>
        <patternFill>
          <bgColor indexed="16"/>
        </patternFill>
      </fill>
    </dxf>
    <dxf>
      <font>
        <b/>
        <i val="0"/>
        <condense val="0"/>
        <extend val="0"/>
        <color indexed="13"/>
      </font>
      <fill>
        <patternFill>
          <bgColor indexed="16"/>
        </patternFill>
      </fill>
    </dxf>
    <dxf>
      <font>
        <color indexed="9"/>
      </font>
    </dxf>
    <dxf>
      <fill>
        <patternFill>
          <bgColor indexed="4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checked="Checked" fmlaLink="F24" lockText="1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3</xdr:row>
          <xdr:rowOff>57150</xdr:rowOff>
        </xdr:from>
        <xdr:to>
          <xdr:col>9</xdr:col>
          <xdr:colOff>571500</xdr:colOff>
          <xdr:row>9</xdr:row>
          <xdr:rowOff>161925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23</xdr:row>
          <xdr:rowOff>9525</xdr:rowOff>
        </xdr:from>
        <xdr:to>
          <xdr:col>1</xdr:col>
          <xdr:colOff>323850</xdr:colOff>
          <xdr:row>24</xdr:row>
          <xdr:rowOff>38100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Показывать дату заполнения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29</xdr:row>
      <xdr:rowOff>285750</xdr:rowOff>
    </xdr:from>
    <xdr:to>
      <xdr:col>1</xdr:col>
      <xdr:colOff>323850</xdr:colOff>
      <xdr:row>31</xdr:row>
      <xdr:rowOff>228600</xdr:rowOff>
    </xdr:to>
    <xdr:pic>
      <xdr:nvPicPr>
        <xdr:cNvPr id="8059" name="Picture 8" descr="Телефо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677275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</xdr:col>
      <xdr:colOff>314325</xdr:colOff>
      <xdr:row>29</xdr:row>
      <xdr:rowOff>285750</xdr:rowOff>
    </xdr:from>
    <xdr:to>
      <xdr:col>7</xdr:col>
      <xdr:colOff>228600</xdr:colOff>
      <xdr:row>32</xdr:row>
      <xdr:rowOff>0</xdr:rowOff>
    </xdr:to>
    <xdr:pic>
      <xdr:nvPicPr>
        <xdr:cNvPr id="8060" name="Picture 9" descr="Факс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677275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238125</xdr:colOff>
      <xdr:row>32</xdr:row>
      <xdr:rowOff>190500</xdr:rowOff>
    </xdr:from>
    <xdr:to>
      <xdr:col>5</xdr:col>
      <xdr:colOff>28575</xdr:colOff>
      <xdr:row>34</xdr:row>
      <xdr:rowOff>323850</xdr:rowOff>
    </xdr:to>
    <xdr:pic>
      <xdr:nvPicPr>
        <xdr:cNvPr id="8061" name="Picture 12" descr="pic (937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9353550"/>
          <a:ext cx="552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Таблица2" displayName="Таблица2" ref="A3:F42" totalsRowShown="0" headerRowDxfId="8" dataDxfId="6" headerRowBorderDxfId="7">
  <tableColumns count="6">
    <tableColumn id="1" name="Наименование мероприятия по охране труда" dataDxfId="5"/>
    <tableColumn id="2" name="Затраты" dataDxfId="4">
      <calculatedColumnFormula>C4+D4+E4+F4</calculatedColumnFormula>
    </tableColumn>
    <tableColumn id="3" name="бюджетные средства" dataDxfId="3"/>
    <tableColumn id="4" name="собственные средства" dataDxfId="2"/>
    <tableColumn id="5" name="средства_x000a_ФСС России" dataDxfId="1"/>
    <tableColumn id="6" name="иные средства" dataDxfId="0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indexed="18"/>
  </sheetPr>
  <dimension ref="A1:J10"/>
  <sheetViews>
    <sheetView showGridLines="0" showRowColHeaders="0" showZeros="0" workbookViewId="0">
      <selection activeCell="Z1" sqref="Z1"/>
    </sheetView>
  </sheetViews>
  <sheetFormatPr defaultRowHeight="15"/>
  <cols>
    <col min="1" max="16384" width="9.140625" style="1"/>
  </cols>
  <sheetData>
    <row r="1" spans="1:10" ht="19.5">
      <c r="A1" s="415" t="s">
        <v>501</v>
      </c>
      <c r="B1" s="416"/>
      <c r="C1" s="416"/>
      <c r="D1" s="416"/>
      <c r="E1" s="416"/>
      <c r="F1" s="416"/>
      <c r="G1" s="416"/>
      <c r="H1" s="416"/>
      <c r="I1" s="416"/>
      <c r="J1" s="417"/>
    </row>
    <row r="2" spans="1:10" ht="37.5" customHeight="1">
      <c r="A2" s="418" t="s">
        <v>502</v>
      </c>
      <c r="B2" s="419"/>
      <c r="C2" s="419"/>
      <c r="D2" s="419"/>
      <c r="E2" s="419"/>
      <c r="F2" s="419"/>
      <c r="G2" s="419"/>
      <c r="H2" s="419"/>
      <c r="I2" s="419"/>
      <c r="J2" s="420"/>
    </row>
    <row r="3" spans="1:10">
      <c r="A3" s="421" t="s">
        <v>503</v>
      </c>
      <c r="B3" s="422"/>
      <c r="C3" s="422"/>
      <c r="D3" s="422"/>
      <c r="E3" s="422"/>
      <c r="F3" s="422"/>
      <c r="G3" s="422"/>
      <c r="H3" s="422"/>
      <c r="I3" s="422"/>
      <c r="J3" s="423"/>
    </row>
    <row r="4" spans="1:10">
      <c r="A4" s="421"/>
      <c r="B4" s="422"/>
      <c r="C4" s="422"/>
      <c r="D4" s="422"/>
      <c r="E4" s="422"/>
      <c r="F4" s="422"/>
      <c r="G4" s="422"/>
      <c r="H4" s="422"/>
      <c r="I4" s="422"/>
      <c r="J4" s="423"/>
    </row>
    <row r="5" spans="1:10">
      <c r="A5" s="421"/>
      <c r="B5" s="422"/>
      <c r="C5" s="422"/>
      <c r="D5" s="422"/>
      <c r="E5" s="422"/>
      <c r="F5" s="422"/>
      <c r="G5" s="422"/>
      <c r="H5" s="422"/>
      <c r="I5" s="422"/>
      <c r="J5" s="423"/>
    </row>
    <row r="6" spans="1:10">
      <c r="A6" s="421"/>
      <c r="B6" s="422"/>
      <c r="C6" s="422"/>
      <c r="D6" s="422"/>
      <c r="E6" s="422"/>
      <c r="F6" s="422"/>
      <c r="G6" s="422"/>
      <c r="H6" s="422"/>
      <c r="I6" s="422"/>
      <c r="J6" s="423"/>
    </row>
    <row r="7" spans="1:10">
      <c r="A7" s="421"/>
      <c r="B7" s="422"/>
      <c r="C7" s="422"/>
      <c r="D7" s="422"/>
      <c r="E7" s="422"/>
      <c r="F7" s="422"/>
      <c r="G7" s="422"/>
      <c r="H7" s="422"/>
      <c r="I7" s="422"/>
      <c r="J7" s="423"/>
    </row>
    <row r="8" spans="1:10">
      <c r="A8" s="421"/>
      <c r="B8" s="422"/>
      <c r="C8" s="422"/>
      <c r="D8" s="422"/>
      <c r="E8" s="422"/>
      <c r="F8" s="422"/>
      <c r="G8" s="422"/>
      <c r="H8" s="422"/>
      <c r="I8" s="422"/>
      <c r="J8" s="423"/>
    </row>
    <row r="9" spans="1:10">
      <c r="A9" s="421"/>
      <c r="B9" s="422"/>
      <c r="C9" s="422"/>
      <c r="D9" s="422"/>
      <c r="E9" s="422"/>
      <c r="F9" s="422"/>
      <c r="G9" s="422"/>
      <c r="H9" s="422"/>
      <c r="I9" s="422"/>
      <c r="J9" s="423"/>
    </row>
    <row r="10" spans="1:10" ht="15.75" thickBot="1">
      <c r="A10" s="424"/>
      <c r="B10" s="425"/>
      <c r="C10" s="425"/>
      <c r="D10" s="425"/>
      <c r="E10" s="425"/>
      <c r="F10" s="425"/>
      <c r="G10" s="425"/>
      <c r="H10" s="425"/>
      <c r="I10" s="425"/>
      <c r="J10" s="426"/>
    </row>
  </sheetData>
  <sheetProtection password="CE28" sheet="1" objects="1" scenarios="1" selectLockedCells="1"/>
  <mergeCells count="3">
    <mergeCell ref="A1:J1"/>
    <mergeCell ref="A2:J2"/>
    <mergeCell ref="A3:J10"/>
  </mergeCells>
  <phoneticPr fontId="41" type="noConversion"/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Пакет" shapeId="18436" r:id="rId4">
          <objectPr locked="0" defaultSize="0" autoPict="0" r:id="rId5">
            <anchor moveWithCells="1" sizeWithCells="1">
              <from>
                <xdr:col>0</xdr:col>
                <xdr:colOff>38100</xdr:colOff>
                <xdr:row>3</xdr:row>
                <xdr:rowOff>57150</xdr:rowOff>
              </from>
              <to>
                <xdr:col>9</xdr:col>
                <xdr:colOff>571500</xdr:colOff>
                <xdr:row>9</xdr:row>
                <xdr:rowOff>161925</xdr:rowOff>
              </to>
            </anchor>
          </objectPr>
        </oleObject>
      </mc:Choice>
      <mc:Fallback>
        <oleObject progId="Пакет" shapeId="1843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FFFF00"/>
  </sheetPr>
  <dimension ref="A1:I254"/>
  <sheetViews>
    <sheetView showGridLines="0" showRowColHeaders="0" showZeros="0" topLeftCell="A7" zoomScale="150" zoomScaleNormal="125" workbookViewId="0">
      <selection activeCell="C14" sqref="C14"/>
    </sheetView>
  </sheetViews>
  <sheetFormatPr defaultRowHeight="15"/>
  <cols>
    <col min="1" max="1" width="20.7109375" style="9" customWidth="1"/>
    <col min="2" max="2" width="30.28515625" style="9" customWidth="1"/>
    <col min="3" max="5" width="12.28515625" style="9" customWidth="1"/>
    <col min="6" max="6" width="8.28515625" style="12" hidden="1" customWidth="1"/>
    <col min="7" max="8" width="9.140625" style="8" hidden="1" customWidth="1"/>
    <col min="9" max="9" width="0" style="8" hidden="1" customWidth="1"/>
    <col min="10" max="16384" width="9.140625" style="9"/>
  </cols>
  <sheetData>
    <row r="1" spans="1:9" ht="132.75" customHeight="1">
      <c r="A1" s="439" t="s">
        <v>26</v>
      </c>
      <c r="B1" s="427"/>
      <c r="C1" s="427"/>
      <c r="D1" s="427"/>
      <c r="E1" s="427"/>
    </row>
    <row r="2" spans="1:9" s="2" customFormat="1" ht="45" customHeight="1">
      <c r="A2" s="429" t="s">
        <v>589</v>
      </c>
      <c r="B2" s="429"/>
      <c r="C2" s="429"/>
      <c r="D2" s="429"/>
      <c r="E2" s="429"/>
      <c r="F2" s="28" t="str">
        <f>TRIM(A2)</f>
        <v>Государственное казенное общеобразовательное учреждение "Специальная (коррекционная) общеобразовательная школа-интернат № 2"</v>
      </c>
      <c r="G2" s="6"/>
      <c r="H2" s="6"/>
      <c r="I2" s="6"/>
    </row>
    <row r="3" spans="1:9" s="2" customFormat="1" ht="21" customHeight="1">
      <c r="A3" s="441" t="s">
        <v>396</v>
      </c>
      <c r="B3" s="441"/>
      <c r="C3" s="441"/>
      <c r="D3" s="441"/>
      <c r="E3" s="441"/>
      <c r="F3" s="28" t="str">
        <f>MID(E4,1,4)</f>
        <v>85.1</v>
      </c>
      <c r="G3" s="6"/>
      <c r="H3" s="6"/>
      <c r="I3" s="6"/>
    </row>
    <row r="4" spans="1:9" s="15" customFormat="1" ht="21.75" customHeight="1">
      <c r="A4" s="442" t="str">
        <f>IF(ISERROR(F4),"Введено недопустимое значение →",F5)</f>
        <v>Деятельность в области здравоохранения</v>
      </c>
      <c r="B4" s="442"/>
      <c r="C4" s="442"/>
      <c r="D4" s="442"/>
      <c r="E4" s="382" t="s">
        <v>590</v>
      </c>
      <c r="F4" s="44" t="str">
        <f>IF(LEN(F3)=0,0,VLOOKUP(F3,A27:B253,2,FALSE))</f>
        <v>Деятельность в области здравоохранения</v>
      </c>
      <c r="G4" s="14"/>
      <c r="H4" s="14"/>
      <c r="I4" s="14"/>
    </row>
    <row r="5" spans="1:9" s="2" customFormat="1" ht="21" customHeight="1">
      <c r="A5" s="445" t="s">
        <v>198</v>
      </c>
      <c r="B5" s="445"/>
      <c r="C5" s="445"/>
      <c r="D5" s="445"/>
      <c r="E5" s="73" t="s">
        <v>405</v>
      </c>
      <c r="F5" s="7" t="str">
        <f>IF(ISERROR(F4),"",F4)</f>
        <v>Деятельность в области здравоохранения</v>
      </c>
      <c r="G5" s="6"/>
      <c r="H5" s="6"/>
      <c r="I5" s="6"/>
    </row>
    <row r="6" spans="1:9" s="2" customFormat="1" ht="45" customHeight="1">
      <c r="A6" s="429" t="s">
        <v>591</v>
      </c>
      <c r="B6" s="429"/>
      <c r="C6" s="429"/>
      <c r="D6" s="429"/>
      <c r="E6" s="429"/>
      <c r="F6" s="28" t="str">
        <f>TRIM(A6)</f>
        <v>Ставропольский край Кочубеевский район станица Барсуковская ул.Шевченко д.2</v>
      </c>
      <c r="G6" s="385"/>
      <c r="H6" s="6"/>
      <c r="I6" s="6"/>
    </row>
    <row r="7" spans="1:9" s="2" customFormat="1" ht="12" customHeight="1">
      <c r="A7" s="431" t="s">
        <v>13</v>
      </c>
      <c r="B7" s="431"/>
      <c r="C7" s="431"/>
      <c r="D7" s="431"/>
      <c r="E7" s="431"/>
      <c r="F7" s="28"/>
      <c r="G7" s="6"/>
      <c r="H7" s="6"/>
      <c r="I7" s="6"/>
    </row>
    <row r="8" spans="1:9" s="2" customFormat="1" ht="48" customHeight="1">
      <c r="A8" s="413" t="s">
        <v>576</v>
      </c>
      <c r="B8" s="414" t="s">
        <v>580</v>
      </c>
      <c r="C8" s="444"/>
      <c r="D8" s="444"/>
      <c r="E8" s="444"/>
      <c r="F8" s="412" t="str">
        <f>B8</f>
        <v>краевая</v>
      </c>
      <c r="G8" s="6"/>
      <c r="H8" s="6"/>
      <c r="I8" s="6"/>
    </row>
    <row r="9" spans="1:9" ht="21" customHeight="1">
      <c r="A9" s="440" t="s">
        <v>122</v>
      </c>
      <c r="B9" s="440"/>
      <c r="C9" s="109">
        <v>47</v>
      </c>
      <c r="D9" s="427"/>
      <c r="E9" s="427"/>
    </row>
    <row r="10" spans="1:9" ht="6" customHeight="1">
      <c r="A10" s="437"/>
      <c r="B10" s="437"/>
      <c r="C10" s="437"/>
      <c r="D10" s="437"/>
      <c r="E10" s="437"/>
    </row>
    <row r="11" spans="1:9" ht="21" customHeight="1">
      <c r="A11" s="438" t="s">
        <v>123</v>
      </c>
      <c r="B11" s="438"/>
      <c r="C11" s="109">
        <v>61</v>
      </c>
      <c r="D11" s="427"/>
      <c r="E11" s="427"/>
    </row>
    <row r="12" spans="1:9" ht="21" customHeight="1">
      <c r="A12" s="16" t="s">
        <v>124</v>
      </c>
      <c r="B12" s="17" t="s">
        <v>212</v>
      </c>
      <c r="C12" s="110">
        <v>55</v>
      </c>
      <c r="D12" s="427"/>
      <c r="E12" s="427"/>
      <c r="F12" s="26"/>
    </row>
    <row r="13" spans="1:9" ht="21" customHeight="1">
      <c r="A13" s="443" t="s">
        <v>125</v>
      </c>
      <c r="B13" s="443"/>
      <c r="C13" s="110">
        <v>0</v>
      </c>
      <c r="D13" s="427"/>
      <c r="E13" s="427"/>
    </row>
    <row r="14" spans="1:9" ht="21" customHeight="1">
      <c r="A14" s="443" t="s">
        <v>214</v>
      </c>
      <c r="B14" s="443"/>
      <c r="C14" s="110">
        <v>0</v>
      </c>
      <c r="D14" s="427"/>
      <c r="E14" s="427"/>
    </row>
    <row r="15" spans="1:9" ht="12" customHeight="1">
      <c r="A15" s="427"/>
      <c r="B15" s="427"/>
      <c r="C15" s="427"/>
      <c r="D15" s="427"/>
      <c r="E15" s="427"/>
    </row>
    <row r="16" spans="1:9" s="10" customFormat="1" ht="97.5" customHeight="1">
      <c r="A16" s="430" t="str">
        <f>IF(H39&gt;0,CONCATENATE("ВНИМАНИЕ!
В книге содержатся ",H39," ошибок. Проверьте введенные данные в ячейках с красным фоном, используя подсказки внизу заполняемых таблиц")," ")</f>
        <v xml:space="preserve"> </v>
      </c>
      <c r="B16" s="430"/>
      <c r="C16" s="430"/>
      <c r="D16" s="430"/>
      <c r="E16" s="430"/>
      <c r="F16" s="12"/>
      <c r="G16" s="8"/>
      <c r="H16" s="8"/>
      <c r="I16" s="8"/>
    </row>
    <row r="17" spans="1:6" ht="21" customHeight="1">
      <c r="A17" s="21" t="s">
        <v>224</v>
      </c>
      <c r="B17" s="46">
        <f ca="1">IF(F24=TRUE,TODAY(),"")</f>
        <v>43446</v>
      </c>
      <c r="C17" s="22"/>
      <c r="D17" s="22"/>
      <c r="E17" s="23"/>
      <c r="F17" s="45"/>
    </row>
    <row r="18" spans="1:6" ht="21" customHeight="1">
      <c r="A18" s="24" t="s">
        <v>225</v>
      </c>
      <c r="B18" s="428" t="s">
        <v>581</v>
      </c>
      <c r="C18" s="428"/>
      <c r="D18" s="428"/>
      <c r="E18" s="428"/>
    </row>
    <row r="19" spans="1:6" ht="12.75" customHeight="1">
      <c r="A19" s="436"/>
      <c r="B19" s="436"/>
      <c r="C19" s="436"/>
      <c r="D19" s="436"/>
      <c r="E19" s="436"/>
    </row>
    <row r="20" spans="1:6" ht="12" customHeight="1">
      <c r="A20" s="27"/>
      <c r="B20" s="27"/>
      <c r="C20" s="27"/>
      <c r="D20" s="27"/>
      <c r="E20" s="27"/>
    </row>
    <row r="21" spans="1:6" ht="64.5" customHeight="1">
      <c r="A21" s="435" t="s">
        <v>66</v>
      </c>
      <c r="B21" s="435"/>
      <c r="C21" s="435"/>
      <c r="D21" s="435"/>
      <c r="E21" s="435"/>
    </row>
    <row r="22" spans="1:6" ht="39" customHeight="1">
      <c r="A22" s="434" t="s">
        <v>109</v>
      </c>
      <c r="B22" s="434"/>
      <c r="C22" s="434"/>
      <c r="D22" s="434"/>
      <c r="E22" s="434"/>
    </row>
    <row r="23" spans="1:6" ht="15.75">
      <c r="A23" s="433"/>
      <c r="B23" s="433"/>
      <c r="C23" s="184"/>
    </row>
    <row r="24" spans="1:6">
      <c r="D24" s="57"/>
      <c r="F24" s="12" t="b">
        <v>1</v>
      </c>
    </row>
    <row r="25" spans="1:6">
      <c r="D25" s="58" t="s">
        <v>394</v>
      </c>
      <c r="E25" s="396" t="s">
        <v>575</v>
      </c>
      <c r="F25" s="59"/>
    </row>
    <row r="27" spans="1:6" hidden="1"/>
    <row r="28" spans="1:6" hidden="1">
      <c r="A28" s="74" t="s">
        <v>91</v>
      </c>
      <c r="B28" s="75" t="s">
        <v>324</v>
      </c>
      <c r="F28" s="411" t="s">
        <v>579</v>
      </c>
    </row>
    <row r="29" spans="1:6" hidden="1">
      <c r="A29" s="74" t="s">
        <v>97</v>
      </c>
      <c r="B29" s="75" t="s">
        <v>324</v>
      </c>
      <c r="F29" s="411" t="s">
        <v>580</v>
      </c>
    </row>
    <row r="30" spans="1:6" hidden="1">
      <c r="A30" s="74" t="s">
        <v>93</v>
      </c>
      <c r="B30" s="75" t="s">
        <v>324</v>
      </c>
      <c r="F30" s="411" t="s">
        <v>577</v>
      </c>
    </row>
    <row r="31" spans="1:6" hidden="1">
      <c r="A31" s="74" t="s">
        <v>94</v>
      </c>
      <c r="B31" s="75" t="s">
        <v>324</v>
      </c>
      <c r="F31" s="411" t="s">
        <v>578</v>
      </c>
    </row>
    <row r="32" spans="1:6" hidden="1">
      <c r="A32" s="74" t="s">
        <v>53</v>
      </c>
      <c r="B32" s="75" t="s">
        <v>324</v>
      </c>
      <c r="F32" s="411"/>
    </row>
    <row r="33" spans="1:8" hidden="1">
      <c r="A33" s="74" t="s">
        <v>54</v>
      </c>
      <c r="B33" s="75" t="s">
        <v>325</v>
      </c>
      <c r="F33" s="411"/>
    </row>
    <row r="34" spans="1:8" hidden="1">
      <c r="A34" s="74" t="s">
        <v>23</v>
      </c>
      <c r="B34" s="75" t="s">
        <v>325</v>
      </c>
      <c r="F34" s="411"/>
    </row>
    <row r="35" spans="1:8" hidden="1">
      <c r="A35" s="74" t="s">
        <v>56</v>
      </c>
      <c r="B35" s="75" t="s">
        <v>116</v>
      </c>
      <c r="F35" s="411"/>
    </row>
    <row r="36" spans="1:8" hidden="1">
      <c r="A36" s="74" t="s">
        <v>151</v>
      </c>
      <c r="B36" s="75" t="s">
        <v>116</v>
      </c>
      <c r="F36" s="411"/>
    </row>
    <row r="37" spans="1:8" hidden="1">
      <c r="A37" s="74" t="s">
        <v>152</v>
      </c>
      <c r="B37" s="75" t="s">
        <v>116</v>
      </c>
      <c r="F37" s="411"/>
    </row>
    <row r="38" spans="1:8" hidden="1">
      <c r="A38" s="74" t="s">
        <v>153</v>
      </c>
      <c r="B38" s="75" t="s">
        <v>116</v>
      </c>
      <c r="F38" s="411"/>
    </row>
    <row r="39" spans="1:8" hidden="1">
      <c r="A39" s="74" t="s">
        <v>172</v>
      </c>
      <c r="B39" s="75" t="s">
        <v>116</v>
      </c>
      <c r="F39" s="411"/>
      <c r="H39" s="329">
        <f>СлужбаОТ!S8+Обучение!G47+APM!I39+COYT!AL48+BPED!H22+BPED!H19+KOM!I18</f>
        <v>0</v>
      </c>
    </row>
    <row r="40" spans="1:8" hidden="1">
      <c r="A40" s="74" t="s">
        <v>173</v>
      </c>
      <c r="B40" s="75" t="s">
        <v>116</v>
      </c>
      <c r="F40" s="411"/>
    </row>
    <row r="41" spans="1:8" hidden="1">
      <c r="A41" s="74" t="s">
        <v>231</v>
      </c>
      <c r="B41" s="75" t="s">
        <v>115</v>
      </c>
    </row>
    <row r="42" spans="1:8" hidden="1">
      <c r="A42" s="74" t="s">
        <v>232</v>
      </c>
      <c r="B42" s="75" t="s">
        <v>115</v>
      </c>
    </row>
    <row r="43" spans="1:8" hidden="1">
      <c r="A43" s="74" t="s">
        <v>174</v>
      </c>
      <c r="B43" s="75" t="s">
        <v>115</v>
      </c>
    </row>
    <row r="44" spans="1:8" hidden="1">
      <c r="A44" s="74" t="s">
        <v>175</v>
      </c>
      <c r="B44" s="75" t="s">
        <v>115</v>
      </c>
    </row>
    <row r="45" spans="1:8" hidden="1">
      <c r="A45" s="74" t="s">
        <v>134</v>
      </c>
      <c r="B45" s="75" t="s">
        <v>115</v>
      </c>
    </row>
    <row r="46" spans="1:8" hidden="1">
      <c r="A46" s="74" t="s">
        <v>135</v>
      </c>
      <c r="B46" s="75" t="s">
        <v>115</v>
      </c>
    </row>
    <row r="47" spans="1:8" hidden="1">
      <c r="A47" s="74" t="s">
        <v>136</v>
      </c>
      <c r="B47" s="75" t="s">
        <v>115</v>
      </c>
    </row>
    <row r="48" spans="1:8" hidden="1">
      <c r="A48" s="74" t="s">
        <v>137</v>
      </c>
      <c r="B48" s="75" t="s">
        <v>142</v>
      </c>
    </row>
    <row r="49" spans="1:2" hidden="1">
      <c r="A49" s="74" t="s">
        <v>86</v>
      </c>
      <c r="B49" s="75" t="s">
        <v>142</v>
      </c>
    </row>
    <row r="50" spans="1:2" hidden="1">
      <c r="A50" s="74" t="s">
        <v>95</v>
      </c>
      <c r="B50" s="75" t="s">
        <v>142</v>
      </c>
    </row>
    <row r="51" spans="1:2" hidden="1">
      <c r="A51" s="74" t="s">
        <v>96</v>
      </c>
      <c r="B51" s="75" t="s">
        <v>142</v>
      </c>
    </row>
    <row r="52" spans="1:2" hidden="1">
      <c r="A52" s="74" t="s">
        <v>87</v>
      </c>
      <c r="B52" s="75" t="s">
        <v>142</v>
      </c>
    </row>
    <row r="53" spans="1:2" hidden="1">
      <c r="A53" s="74" t="s">
        <v>42</v>
      </c>
      <c r="B53" s="75" t="s">
        <v>142</v>
      </c>
    </row>
    <row r="54" spans="1:2" hidden="1">
      <c r="A54" s="74" t="s">
        <v>43</v>
      </c>
      <c r="B54" s="75" t="s">
        <v>142</v>
      </c>
    </row>
    <row r="55" spans="1:2" hidden="1">
      <c r="A55" s="74" t="s">
        <v>44</v>
      </c>
      <c r="B55" s="75" t="s">
        <v>142</v>
      </c>
    </row>
    <row r="56" spans="1:2" hidden="1">
      <c r="A56" s="74" t="s">
        <v>57</v>
      </c>
      <c r="B56" s="75" t="s">
        <v>142</v>
      </c>
    </row>
    <row r="57" spans="1:2" hidden="1">
      <c r="A57" s="74" t="s">
        <v>40</v>
      </c>
      <c r="B57" s="75" t="s">
        <v>142</v>
      </c>
    </row>
    <row r="58" spans="1:2" hidden="1">
      <c r="A58" s="74" t="s">
        <v>61</v>
      </c>
      <c r="B58" s="75" t="s">
        <v>163</v>
      </c>
    </row>
    <row r="59" spans="1:2" hidden="1">
      <c r="A59" s="74" t="s">
        <v>62</v>
      </c>
      <c r="B59" s="75" t="s">
        <v>163</v>
      </c>
    </row>
    <row r="60" spans="1:2" hidden="1">
      <c r="A60" s="74" t="s">
        <v>78</v>
      </c>
      <c r="B60" s="75" t="s">
        <v>163</v>
      </c>
    </row>
    <row r="61" spans="1:2" hidden="1">
      <c r="A61" s="74" t="s">
        <v>79</v>
      </c>
      <c r="B61" s="75" t="s">
        <v>163</v>
      </c>
    </row>
    <row r="62" spans="1:2" hidden="1">
      <c r="A62" s="74" t="s">
        <v>80</v>
      </c>
      <c r="B62" s="75" t="s">
        <v>163</v>
      </c>
    </row>
    <row r="63" spans="1:2" hidden="1">
      <c r="A63" s="74" t="s">
        <v>18</v>
      </c>
      <c r="B63" s="75" t="s">
        <v>163</v>
      </c>
    </row>
    <row r="64" spans="1:2" hidden="1">
      <c r="A64" s="74" t="s">
        <v>19</v>
      </c>
      <c r="B64" s="75" t="s">
        <v>163</v>
      </c>
    </row>
    <row r="65" spans="1:2" hidden="1">
      <c r="A65" s="74" t="s">
        <v>20</v>
      </c>
      <c r="B65" s="75" t="s">
        <v>163</v>
      </c>
    </row>
    <row r="66" spans="1:2" hidden="1">
      <c r="A66" s="74" t="s">
        <v>21</v>
      </c>
      <c r="B66" s="75" t="s">
        <v>163</v>
      </c>
    </row>
    <row r="67" spans="1:2" hidden="1">
      <c r="A67" s="74" t="s">
        <v>81</v>
      </c>
      <c r="B67" s="75" t="s">
        <v>163</v>
      </c>
    </row>
    <row r="68" spans="1:2" hidden="1">
      <c r="A68" s="74" t="s">
        <v>82</v>
      </c>
      <c r="B68" s="75" t="s">
        <v>131</v>
      </c>
    </row>
    <row r="69" spans="1:2" hidden="1">
      <c r="A69" s="74" t="s">
        <v>83</v>
      </c>
      <c r="B69" s="75" t="s">
        <v>131</v>
      </c>
    </row>
    <row r="70" spans="1:2" hidden="1">
      <c r="A70" s="74" t="s">
        <v>84</v>
      </c>
      <c r="B70" s="75" t="s">
        <v>131</v>
      </c>
    </row>
    <row r="71" spans="1:2" hidden="1">
      <c r="A71" s="74" t="s">
        <v>85</v>
      </c>
      <c r="B71" s="75" t="s">
        <v>118</v>
      </c>
    </row>
    <row r="72" spans="1:2" hidden="1">
      <c r="A72" s="74" t="s">
        <v>52</v>
      </c>
      <c r="B72" s="75" t="s">
        <v>118</v>
      </c>
    </row>
    <row r="73" spans="1:2" hidden="1">
      <c r="A73" s="74" t="s">
        <v>58</v>
      </c>
      <c r="B73" s="75" t="s">
        <v>118</v>
      </c>
    </row>
    <row r="74" spans="1:2" hidden="1">
      <c r="A74" s="74" t="s">
        <v>59</v>
      </c>
      <c r="B74" s="75" t="s">
        <v>118</v>
      </c>
    </row>
    <row r="75" spans="1:2" hidden="1">
      <c r="A75" s="74" t="s">
        <v>60</v>
      </c>
      <c r="B75" s="75" t="s">
        <v>118</v>
      </c>
    </row>
    <row r="76" spans="1:2" hidden="1">
      <c r="A76" s="74" t="s">
        <v>89</v>
      </c>
      <c r="B76" s="75" t="s">
        <v>201</v>
      </c>
    </row>
    <row r="77" spans="1:2" hidden="1">
      <c r="A77" s="74" t="s">
        <v>65</v>
      </c>
      <c r="B77" s="75" t="s">
        <v>201</v>
      </c>
    </row>
    <row r="78" spans="1:2" hidden="1">
      <c r="A78" s="74" t="s">
        <v>90</v>
      </c>
      <c r="B78" s="75" t="s">
        <v>117</v>
      </c>
    </row>
    <row r="79" spans="1:2" hidden="1">
      <c r="A79" s="74" t="s">
        <v>92</v>
      </c>
      <c r="B79" s="75" t="s">
        <v>117</v>
      </c>
    </row>
    <row r="80" spans="1:2" hidden="1">
      <c r="A80" s="74" t="s">
        <v>98</v>
      </c>
      <c r="B80" s="75" t="s">
        <v>325</v>
      </c>
    </row>
    <row r="81" spans="1:2" hidden="1">
      <c r="A81" s="74" t="s">
        <v>99</v>
      </c>
      <c r="B81" s="75" t="s">
        <v>325</v>
      </c>
    </row>
    <row r="82" spans="1:2" hidden="1">
      <c r="A82" s="74" t="s">
        <v>100</v>
      </c>
      <c r="B82" s="75" t="s">
        <v>325</v>
      </c>
    </row>
    <row r="83" spans="1:2" hidden="1">
      <c r="A83" s="74" t="s">
        <v>101</v>
      </c>
      <c r="B83" s="75" t="s">
        <v>325</v>
      </c>
    </row>
    <row r="84" spans="1:2" hidden="1">
      <c r="A84" s="74" t="s">
        <v>102</v>
      </c>
      <c r="B84" s="75" t="s">
        <v>200</v>
      </c>
    </row>
    <row r="85" spans="1:2" hidden="1">
      <c r="A85" s="74" t="s">
        <v>154</v>
      </c>
      <c r="B85" s="75" t="s">
        <v>200</v>
      </c>
    </row>
    <row r="86" spans="1:2" hidden="1">
      <c r="A86" s="74" t="s">
        <v>155</v>
      </c>
      <c r="B86" s="75" t="s">
        <v>200</v>
      </c>
    </row>
    <row r="87" spans="1:2" hidden="1">
      <c r="A87" s="74" t="s">
        <v>156</v>
      </c>
      <c r="B87" s="75" t="s">
        <v>200</v>
      </c>
    </row>
    <row r="88" spans="1:2" hidden="1">
      <c r="A88" s="74" t="s">
        <v>157</v>
      </c>
      <c r="B88" s="75" t="s">
        <v>200</v>
      </c>
    </row>
    <row r="89" spans="1:2" hidden="1">
      <c r="A89" s="74" t="s">
        <v>158</v>
      </c>
      <c r="B89" s="75" t="s">
        <v>200</v>
      </c>
    </row>
    <row r="90" spans="1:2" hidden="1">
      <c r="A90" s="74" t="s">
        <v>230</v>
      </c>
      <c r="B90" s="75" t="s">
        <v>200</v>
      </c>
    </row>
    <row r="91" spans="1:2" hidden="1">
      <c r="A91" s="74" t="s">
        <v>166</v>
      </c>
      <c r="B91" s="75" t="s">
        <v>144</v>
      </c>
    </row>
    <row r="92" spans="1:2" hidden="1">
      <c r="A92" s="74" t="s">
        <v>167</v>
      </c>
      <c r="B92" s="75" t="s">
        <v>144</v>
      </c>
    </row>
    <row r="93" spans="1:2" hidden="1">
      <c r="A93" s="74" t="s">
        <v>51</v>
      </c>
      <c r="B93" s="75" t="s">
        <v>143</v>
      </c>
    </row>
    <row r="94" spans="1:2" hidden="1">
      <c r="A94" s="74" t="s">
        <v>244</v>
      </c>
      <c r="B94" s="75" t="s">
        <v>143</v>
      </c>
    </row>
    <row r="95" spans="1:2" hidden="1">
      <c r="A95" s="74" t="s">
        <v>326</v>
      </c>
      <c r="B95" s="75" t="s">
        <v>143</v>
      </c>
    </row>
    <row r="96" spans="1:2" hidden="1">
      <c r="A96" s="74" t="s">
        <v>327</v>
      </c>
      <c r="B96" s="75" t="s">
        <v>143</v>
      </c>
    </row>
    <row r="97" spans="1:2" hidden="1">
      <c r="A97" s="74" t="s">
        <v>328</v>
      </c>
      <c r="B97" s="75" t="s">
        <v>143</v>
      </c>
    </row>
    <row r="98" spans="1:2" hidden="1">
      <c r="A98" s="74" t="s">
        <v>329</v>
      </c>
      <c r="B98" s="75" t="s">
        <v>143</v>
      </c>
    </row>
    <row r="99" spans="1:2" hidden="1">
      <c r="A99" s="74" t="s">
        <v>196</v>
      </c>
      <c r="B99" s="75" t="s">
        <v>143</v>
      </c>
    </row>
    <row r="100" spans="1:2" hidden="1">
      <c r="A100" s="74" t="s">
        <v>197</v>
      </c>
      <c r="B100" s="75" t="s">
        <v>143</v>
      </c>
    </row>
    <row r="101" spans="1:2" hidden="1">
      <c r="A101" s="74" t="s">
        <v>330</v>
      </c>
      <c r="B101" s="75" t="s">
        <v>325</v>
      </c>
    </row>
    <row r="102" spans="1:2" hidden="1">
      <c r="A102" s="74" t="s">
        <v>331</v>
      </c>
      <c r="B102" s="75" t="s">
        <v>325</v>
      </c>
    </row>
    <row r="103" spans="1:2" hidden="1">
      <c r="A103" s="74" t="s">
        <v>332</v>
      </c>
      <c r="B103" s="75" t="s">
        <v>325</v>
      </c>
    </row>
    <row r="104" spans="1:2" hidden="1">
      <c r="A104" s="74" t="s">
        <v>333</v>
      </c>
      <c r="B104" s="75" t="s">
        <v>325</v>
      </c>
    </row>
    <row r="105" spans="1:2" hidden="1">
      <c r="A105" s="74" t="s">
        <v>334</v>
      </c>
      <c r="B105" s="75" t="s">
        <v>325</v>
      </c>
    </row>
    <row r="106" spans="1:2" hidden="1">
      <c r="A106" s="74" t="s">
        <v>335</v>
      </c>
      <c r="B106" s="75" t="s">
        <v>129</v>
      </c>
    </row>
    <row r="107" spans="1:2" hidden="1">
      <c r="A107" s="74" t="s">
        <v>336</v>
      </c>
      <c r="B107" s="75" t="s">
        <v>129</v>
      </c>
    </row>
    <row r="108" spans="1:2" hidden="1">
      <c r="A108" s="74" t="s">
        <v>337</v>
      </c>
      <c r="B108" s="75" t="s">
        <v>129</v>
      </c>
    </row>
    <row r="109" spans="1:2" hidden="1">
      <c r="A109" s="74" t="s">
        <v>338</v>
      </c>
      <c r="B109" s="75" t="s">
        <v>129</v>
      </c>
    </row>
    <row r="110" spans="1:2" hidden="1">
      <c r="A110" s="74" t="s">
        <v>339</v>
      </c>
      <c r="B110" s="75" t="s">
        <v>129</v>
      </c>
    </row>
    <row r="111" spans="1:2" hidden="1">
      <c r="A111" s="74" t="s">
        <v>340</v>
      </c>
      <c r="B111" s="75" t="s">
        <v>129</v>
      </c>
    </row>
    <row r="112" spans="1:2" hidden="1">
      <c r="A112" s="74" t="s">
        <v>341</v>
      </c>
      <c r="B112" s="75" t="s">
        <v>129</v>
      </c>
    </row>
    <row r="113" spans="1:2" hidden="1">
      <c r="A113" s="74" t="s">
        <v>342</v>
      </c>
      <c r="B113" s="75" t="s">
        <v>132</v>
      </c>
    </row>
    <row r="114" spans="1:2" hidden="1">
      <c r="A114" s="74" t="s">
        <v>343</v>
      </c>
      <c r="B114" s="75" t="s">
        <v>132</v>
      </c>
    </row>
    <row r="115" spans="1:2" hidden="1">
      <c r="A115" s="74" t="s">
        <v>344</v>
      </c>
      <c r="B115" s="75" t="s">
        <v>132</v>
      </c>
    </row>
    <row r="116" spans="1:2" hidden="1">
      <c r="A116" s="74" t="s">
        <v>345</v>
      </c>
      <c r="B116" s="75" t="s">
        <v>132</v>
      </c>
    </row>
    <row r="117" spans="1:2" hidden="1">
      <c r="A117" s="74" t="s">
        <v>346</v>
      </c>
      <c r="B117" s="75" t="s">
        <v>132</v>
      </c>
    </row>
    <row r="118" spans="1:2" hidden="1">
      <c r="A118" s="74" t="s">
        <v>347</v>
      </c>
      <c r="B118" s="75" t="s">
        <v>132</v>
      </c>
    </row>
    <row r="119" spans="1:2" hidden="1">
      <c r="A119" s="74" t="s">
        <v>348</v>
      </c>
      <c r="B119" s="75" t="s">
        <v>132</v>
      </c>
    </row>
    <row r="120" spans="1:2" hidden="1">
      <c r="A120" s="74" t="s">
        <v>349</v>
      </c>
      <c r="B120" s="75" t="s">
        <v>146</v>
      </c>
    </row>
    <row r="121" spans="1:2" hidden="1">
      <c r="A121" s="74" t="s">
        <v>350</v>
      </c>
      <c r="B121" s="75" t="s">
        <v>146</v>
      </c>
    </row>
    <row r="122" spans="1:2" hidden="1">
      <c r="A122" s="74" t="s">
        <v>351</v>
      </c>
      <c r="B122" s="75" t="s">
        <v>146</v>
      </c>
    </row>
    <row r="123" spans="1:2" hidden="1">
      <c r="A123" s="74" t="s">
        <v>352</v>
      </c>
      <c r="B123" s="75" t="s">
        <v>146</v>
      </c>
    </row>
    <row r="124" spans="1:2" hidden="1">
      <c r="A124" s="74" t="s">
        <v>353</v>
      </c>
      <c r="B124" s="75" t="s">
        <v>146</v>
      </c>
    </row>
    <row r="125" spans="1:2" hidden="1">
      <c r="A125" s="74" t="s">
        <v>354</v>
      </c>
      <c r="B125" s="75" t="s">
        <v>146</v>
      </c>
    </row>
    <row r="126" spans="1:2" hidden="1">
      <c r="A126" s="74" t="s">
        <v>355</v>
      </c>
      <c r="B126" s="75" t="s">
        <v>146</v>
      </c>
    </row>
    <row r="127" spans="1:2" hidden="1">
      <c r="A127" s="74" t="s">
        <v>356</v>
      </c>
      <c r="B127" s="75" t="s">
        <v>146</v>
      </c>
    </row>
    <row r="128" spans="1:2" hidden="1">
      <c r="A128" s="74" t="s">
        <v>357</v>
      </c>
      <c r="B128" s="75" t="s">
        <v>146</v>
      </c>
    </row>
    <row r="129" spans="1:2" hidden="1">
      <c r="A129" s="74" t="s">
        <v>358</v>
      </c>
      <c r="B129" s="75" t="s">
        <v>146</v>
      </c>
    </row>
    <row r="130" spans="1:2" hidden="1">
      <c r="A130" s="74" t="s">
        <v>359</v>
      </c>
      <c r="B130" s="75" t="s">
        <v>146</v>
      </c>
    </row>
    <row r="131" spans="1:2" hidden="1">
      <c r="A131" s="74" t="s">
        <v>360</v>
      </c>
      <c r="B131" s="75" t="s">
        <v>146</v>
      </c>
    </row>
    <row r="132" spans="1:2" hidden="1">
      <c r="A132" s="74" t="s">
        <v>361</v>
      </c>
      <c r="B132" s="75" t="s">
        <v>146</v>
      </c>
    </row>
    <row r="133" spans="1:2" hidden="1">
      <c r="A133" s="74" t="s">
        <v>362</v>
      </c>
      <c r="B133" s="75" t="s">
        <v>146</v>
      </c>
    </row>
    <row r="134" spans="1:2" hidden="1">
      <c r="A134" s="74" t="s">
        <v>363</v>
      </c>
      <c r="B134" s="75" t="s">
        <v>146</v>
      </c>
    </row>
    <row r="135" spans="1:2" hidden="1">
      <c r="A135" s="74" t="s">
        <v>364</v>
      </c>
      <c r="B135" s="75" t="s">
        <v>145</v>
      </c>
    </row>
    <row r="136" spans="1:2" hidden="1">
      <c r="A136" s="74" t="s">
        <v>365</v>
      </c>
      <c r="B136" s="75" t="s">
        <v>145</v>
      </c>
    </row>
    <row r="137" spans="1:2" hidden="1">
      <c r="A137" s="74" t="s">
        <v>366</v>
      </c>
      <c r="B137" s="75" t="s">
        <v>145</v>
      </c>
    </row>
    <row r="138" spans="1:2" hidden="1">
      <c r="A138" s="74" t="s">
        <v>367</v>
      </c>
      <c r="B138" s="75" t="s">
        <v>145</v>
      </c>
    </row>
    <row r="139" spans="1:2" hidden="1">
      <c r="A139" s="74" t="s">
        <v>368</v>
      </c>
      <c r="B139" s="75" t="s">
        <v>145</v>
      </c>
    </row>
    <row r="140" spans="1:2" hidden="1">
      <c r="A140" s="74" t="s">
        <v>369</v>
      </c>
      <c r="B140" s="75" t="s">
        <v>145</v>
      </c>
    </row>
    <row r="141" spans="1:2" hidden="1">
      <c r="A141" s="74" t="s">
        <v>370</v>
      </c>
      <c r="B141" s="75" t="s">
        <v>145</v>
      </c>
    </row>
    <row r="142" spans="1:2" hidden="1">
      <c r="A142" s="74" t="s">
        <v>371</v>
      </c>
      <c r="B142" s="75" t="s">
        <v>145</v>
      </c>
    </row>
    <row r="143" spans="1:2" hidden="1">
      <c r="A143" s="74" t="s">
        <v>372</v>
      </c>
      <c r="B143" s="75" t="s">
        <v>325</v>
      </c>
    </row>
    <row r="144" spans="1:2" hidden="1">
      <c r="A144" s="74" t="s">
        <v>373</v>
      </c>
      <c r="B144" s="75" t="s">
        <v>325</v>
      </c>
    </row>
    <row r="145" spans="1:2" hidden="1">
      <c r="A145" s="74" t="s">
        <v>374</v>
      </c>
      <c r="B145" s="75" t="s">
        <v>325</v>
      </c>
    </row>
    <row r="146" spans="1:2" hidden="1">
      <c r="A146" s="74" t="s">
        <v>375</v>
      </c>
      <c r="B146" s="75" t="s">
        <v>325</v>
      </c>
    </row>
    <row r="147" spans="1:2" hidden="1">
      <c r="A147" s="74" t="s">
        <v>376</v>
      </c>
      <c r="B147" s="75" t="s">
        <v>325</v>
      </c>
    </row>
    <row r="148" spans="1:2" hidden="1">
      <c r="A148" s="74" t="s">
        <v>377</v>
      </c>
      <c r="B148" s="75" t="s">
        <v>325</v>
      </c>
    </row>
    <row r="149" spans="1:2" hidden="1">
      <c r="A149" s="74" t="s">
        <v>378</v>
      </c>
      <c r="B149" s="75" t="s">
        <v>325</v>
      </c>
    </row>
    <row r="150" spans="1:2" hidden="1">
      <c r="A150" s="74" t="s">
        <v>379</v>
      </c>
      <c r="B150" s="75" t="s">
        <v>325</v>
      </c>
    </row>
    <row r="151" spans="1:2" hidden="1">
      <c r="A151" s="74" t="s">
        <v>380</v>
      </c>
      <c r="B151" s="75" t="s">
        <v>130</v>
      </c>
    </row>
    <row r="152" spans="1:2" hidden="1">
      <c r="A152" s="74" t="s">
        <v>381</v>
      </c>
      <c r="B152" s="75" t="s">
        <v>130</v>
      </c>
    </row>
    <row r="153" spans="1:2" hidden="1">
      <c r="A153" s="74" t="s">
        <v>382</v>
      </c>
      <c r="B153" s="75" t="s">
        <v>130</v>
      </c>
    </row>
    <row r="154" spans="1:2" hidden="1">
      <c r="A154" s="74" t="s">
        <v>383</v>
      </c>
      <c r="B154" s="75" t="s">
        <v>130</v>
      </c>
    </row>
    <row r="155" spans="1:2" hidden="1">
      <c r="A155" s="74" t="s">
        <v>384</v>
      </c>
      <c r="B155" s="75" t="s">
        <v>162</v>
      </c>
    </row>
    <row r="156" spans="1:2" hidden="1">
      <c r="A156" s="74" t="s">
        <v>385</v>
      </c>
      <c r="B156" s="75" t="s">
        <v>162</v>
      </c>
    </row>
    <row r="157" spans="1:2" hidden="1">
      <c r="A157" s="74" t="s">
        <v>386</v>
      </c>
      <c r="B157" s="75" t="s">
        <v>162</v>
      </c>
    </row>
    <row r="158" spans="1:2" hidden="1">
      <c r="A158" s="74" t="s">
        <v>387</v>
      </c>
      <c r="B158" s="75" t="s">
        <v>162</v>
      </c>
    </row>
    <row r="159" spans="1:2" hidden="1">
      <c r="A159" s="74" t="s">
        <v>388</v>
      </c>
      <c r="B159" s="75" t="s">
        <v>162</v>
      </c>
    </row>
    <row r="160" spans="1:2" hidden="1">
      <c r="A160" s="74" t="s">
        <v>176</v>
      </c>
      <c r="B160" s="75" t="s">
        <v>121</v>
      </c>
    </row>
    <row r="161" spans="1:2" hidden="1">
      <c r="A161" s="74" t="s">
        <v>245</v>
      </c>
      <c r="B161" s="75" t="s">
        <v>195</v>
      </c>
    </row>
    <row r="162" spans="1:2" hidden="1">
      <c r="A162" s="74" t="s">
        <v>177</v>
      </c>
      <c r="B162" s="75" t="s">
        <v>121</v>
      </c>
    </row>
    <row r="163" spans="1:2" hidden="1">
      <c r="A163" s="74" t="s">
        <v>178</v>
      </c>
      <c r="B163" s="75" t="s">
        <v>121</v>
      </c>
    </row>
    <row r="164" spans="1:2" hidden="1">
      <c r="A164" s="74" t="s">
        <v>179</v>
      </c>
      <c r="B164" s="75" t="s">
        <v>121</v>
      </c>
    </row>
    <row r="165" spans="1:2" hidden="1">
      <c r="A165" s="74" t="s">
        <v>180</v>
      </c>
      <c r="B165" s="75" t="s">
        <v>121</v>
      </c>
    </row>
    <row r="166" spans="1:2" hidden="1">
      <c r="A166" s="74" t="s">
        <v>181</v>
      </c>
      <c r="B166" s="75" t="s">
        <v>121</v>
      </c>
    </row>
    <row r="167" spans="1:2" hidden="1">
      <c r="A167" s="74" t="s">
        <v>182</v>
      </c>
      <c r="B167" s="75" t="s">
        <v>121</v>
      </c>
    </row>
    <row r="168" spans="1:2" hidden="1">
      <c r="A168" s="74" t="s">
        <v>183</v>
      </c>
      <c r="B168" s="75" t="s">
        <v>121</v>
      </c>
    </row>
    <row r="169" spans="1:2" hidden="1">
      <c r="A169" s="74" t="s">
        <v>184</v>
      </c>
      <c r="B169" s="75" t="s">
        <v>121</v>
      </c>
    </row>
    <row r="170" spans="1:2" hidden="1">
      <c r="A170" s="74" t="s">
        <v>185</v>
      </c>
      <c r="B170" s="75" t="s">
        <v>121</v>
      </c>
    </row>
    <row r="171" spans="1:2" hidden="1">
      <c r="A171" s="74" t="s">
        <v>186</v>
      </c>
      <c r="B171" s="75" t="s">
        <v>121</v>
      </c>
    </row>
    <row r="172" spans="1:2" hidden="1">
      <c r="A172" s="74" t="s">
        <v>187</v>
      </c>
      <c r="B172" s="75" t="s">
        <v>121</v>
      </c>
    </row>
    <row r="173" spans="1:2" hidden="1">
      <c r="A173" s="74" t="s">
        <v>188</v>
      </c>
      <c r="B173" s="75" t="s">
        <v>121</v>
      </c>
    </row>
    <row r="174" spans="1:2" hidden="1">
      <c r="A174" s="74" t="s">
        <v>189</v>
      </c>
      <c r="B174" s="75" t="s">
        <v>121</v>
      </c>
    </row>
    <row r="175" spans="1:2" hidden="1">
      <c r="A175" s="74" t="s">
        <v>190</v>
      </c>
      <c r="B175" s="75" t="s">
        <v>121</v>
      </c>
    </row>
    <row r="176" spans="1:2" hidden="1">
      <c r="A176" s="74" t="s">
        <v>191</v>
      </c>
      <c r="B176" s="75" t="s">
        <v>121</v>
      </c>
    </row>
    <row r="177" spans="1:2" hidden="1">
      <c r="A177" s="74" t="s">
        <v>192</v>
      </c>
      <c r="B177" s="75" t="s">
        <v>121</v>
      </c>
    </row>
    <row r="178" spans="1:2" hidden="1">
      <c r="A178" s="74" t="s">
        <v>193</v>
      </c>
      <c r="B178" s="75" t="s">
        <v>121</v>
      </c>
    </row>
    <row r="179" spans="1:2" hidden="1">
      <c r="A179" s="74" t="s">
        <v>194</v>
      </c>
      <c r="B179" s="75" t="s">
        <v>121</v>
      </c>
    </row>
    <row r="180" spans="1:2" hidden="1">
      <c r="A180" s="74" t="s">
        <v>246</v>
      </c>
      <c r="B180" s="75" t="s">
        <v>160</v>
      </c>
    </row>
    <row r="181" spans="1:2" hidden="1">
      <c r="A181" s="74" t="s">
        <v>250</v>
      </c>
      <c r="B181" s="75" t="s">
        <v>114</v>
      </c>
    </row>
    <row r="182" spans="1:2" hidden="1">
      <c r="A182" s="74" t="s">
        <v>251</v>
      </c>
      <c r="B182" s="75" t="s">
        <v>114</v>
      </c>
    </row>
    <row r="183" spans="1:2" hidden="1">
      <c r="A183" s="74" t="s">
        <v>252</v>
      </c>
      <c r="B183" s="75" t="s">
        <v>114</v>
      </c>
    </row>
    <row r="184" spans="1:2" hidden="1">
      <c r="A184" s="74" t="s">
        <v>253</v>
      </c>
      <c r="B184" s="75" t="s">
        <v>114</v>
      </c>
    </row>
    <row r="185" spans="1:2" hidden="1">
      <c r="A185" s="74" t="s">
        <v>254</v>
      </c>
      <c r="B185" s="75" t="s">
        <v>114</v>
      </c>
    </row>
    <row r="186" spans="1:2" hidden="1">
      <c r="A186" s="74" t="s">
        <v>255</v>
      </c>
      <c r="B186" s="75" t="s">
        <v>164</v>
      </c>
    </row>
    <row r="187" spans="1:2" hidden="1">
      <c r="A187" s="74" t="s">
        <v>256</v>
      </c>
      <c r="B187" s="75" t="s">
        <v>164</v>
      </c>
    </row>
    <row r="188" spans="1:2" hidden="1">
      <c r="A188" s="74" t="s">
        <v>257</v>
      </c>
      <c r="B188" s="75" t="s">
        <v>164</v>
      </c>
    </row>
    <row r="189" spans="1:2" hidden="1">
      <c r="A189" s="74" t="s">
        <v>258</v>
      </c>
      <c r="B189" s="75" t="s">
        <v>164</v>
      </c>
    </row>
    <row r="190" spans="1:2" hidden="1">
      <c r="A190" s="74" t="s">
        <v>259</v>
      </c>
      <c r="B190" s="75" t="s">
        <v>164</v>
      </c>
    </row>
    <row r="191" spans="1:2" hidden="1">
      <c r="A191" s="74" t="s">
        <v>260</v>
      </c>
      <c r="B191" s="75" t="s">
        <v>164</v>
      </c>
    </row>
    <row r="192" spans="1:2" hidden="1">
      <c r="A192" s="74" t="s">
        <v>266</v>
      </c>
      <c r="B192" s="75" t="s">
        <v>164</v>
      </c>
    </row>
    <row r="193" spans="1:2" hidden="1">
      <c r="A193" s="74" t="s">
        <v>261</v>
      </c>
      <c r="B193" s="75" t="s">
        <v>164</v>
      </c>
    </row>
    <row r="194" spans="1:2" hidden="1">
      <c r="A194" s="74" t="s">
        <v>262</v>
      </c>
      <c r="B194" s="75" t="s">
        <v>164</v>
      </c>
    </row>
    <row r="195" spans="1:2" hidden="1">
      <c r="A195" s="74" t="s">
        <v>263</v>
      </c>
      <c r="B195" s="75" t="s">
        <v>164</v>
      </c>
    </row>
    <row r="196" spans="1:2" hidden="1">
      <c r="A196" s="74" t="s">
        <v>264</v>
      </c>
      <c r="B196" s="75" t="s">
        <v>164</v>
      </c>
    </row>
    <row r="197" spans="1:2" hidden="1">
      <c r="A197" s="74" t="s">
        <v>265</v>
      </c>
      <c r="B197" s="75" t="s">
        <v>164</v>
      </c>
    </row>
    <row r="198" spans="1:2" hidden="1">
      <c r="A198" s="74" t="s">
        <v>267</v>
      </c>
      <c r="B198" s="75" t="s">
        <v>161</v>
      </c>
    </row>
    <row r="199" spans="1:2" hidden="1">
      <c r="A199" s="74" t="s">
        <v>268</v>
      </c>
      <c r="B199" s="75" t="s">
        <v>161</v>
      </c>
    </row>
    <row r="200" spans="1:2" hidden="1">
      <c r="A200" s="74" t="s">
        <v>269</v>
      </c>
      <c r="B200" s="75" t="s">
        <v>165</v>
      </c>
    </row>
    <row r="201" spans="1:2" hidden="1">
      <c r="A201" s="74" t="s">
        <v>270</v>
      </c>
      <c r="B201" s="75" t="s">
        <v>165</v>
      </c>
    </row>
    <row r="202" spans="1:2" hidden="1">
      <c r="A202" s="74" t="s">
        <v>271</v>
      </c>
      <c r="B202" s="75" t="s">
        <v>165</v>
      </c>
    </row>
    <row r="203" spans="1:2" hidden="1">
      <c r="A203" s="74" t="s">
        <v>273</v>
      </c>
      <c r="B203" s="75" t="s">
        <v>165</v>
      </c>
    </row>
    <row r="204" spans="1:2" hidden="1">
      <c r="A204" s="74" t="s">
        <v>272</v>
      </c>
      <c r="B204" s="75" t="s">
        <v>165</v>
      </c>
    </row>
    <row r="205" spans="1:2" hidden="1">
      <c r="A205" s="74" t="s">
        <v>274</v>
      </c>
      <c r="B205" s="75" t="s">
        <v>120</v>
      </c>
    </row>
    <row r="206" spans="1:2" hidden="1">
      <c r="A206" s="74" t="s">
        <v>275</v>
      </c>
      <c r="B206" s="75" t="s">
        <v>120</v>
      </c>
    </row>
    <row r="207" spans="1:2" hidden="1">
      <c r="A207" s="74" t="s">
        <v>276</v>
      </c>
      <c r="B207" s="75" t="s">
        <v>120</v>
      </c>
    </row>
    <row r="208" spans="1:2" hidden="1">
      <c r="A208" s="74" t="s">
        <v>277</v>
      </c>
      <c r="B208" s="75" t="s">
        <v>120</v>
      </c>
    </row>
    <row r="209" spans="1:2" hidden="1">
      <c r="A209" s="74" t="s">
        <v>278</v>
      </c>
      <c r="B209" s="75" t="s">
        <v>120</v>
      </c>
    </row>
    <row r="210" spans="1:2" hidden="1">
      <c r="A210" s="74" t="s">
        <v>279</v>
      </c>
      <c r="B210" s="75" t="s">
        <v>120</v>
      </c>
    </row>
    <row r="211" spans="1:2" hidden="1">
      <c r="A211" s="74" t="s">
        <v>280</v>
      </c>
      <c r="B211" s="75" t="s">
        <v>120</v>
      </c>
    </row>
    <row r="212" spans="1:2" hidden="1">
      <c r="A212" s="74" t="s">
        <v>281</v>
      </c>
      <c r="B212" s="75" t="s">
        <v>120</v>
      </c>
    </row>
    <row r="213" spans="1:2" hidden="1">
      <c r="A213" s="74" t="s">
        <v>282</v>
      </c>
      <c r="B213" s="75" t="s">
        <v>120</v>
      </c>
    </row>
    <row r="214" spans="1:2" hidden="1">
      <c r="A214" s="74" t="s">
        <v>283</v>
      </c>
      <c r="B214" s="75" t="s">
        <v>120</v>
      </c>
    </row>
    <row r="215" spans="1:2" hidden="1">
      <c r="A215" s="74" t="s">
        <v>284</v>
      </c>
      <c r="B215" s="75" t="s">
        <v>120</v>
      </c>
    </row>
    <row r="216" spans="1:2" hidden="1">
      <c r="A216" s="74" t="s">
        <v>285</v>
      </c>
      <c r="B216" s="75" t="s">
        <v>120</v>
      </c>
    </row>
    <row r="217" spans="1:2" hidden="1">
      <c r="A217" s="74" t="s">
        <v>286</v>
      </c>
      <c r="B217" s="75" t="s">
        <v>120</v>
      </c>
    </row>
    <row r="218" spans="1:2" hidden="1">
      <c r="A218" s="74" t="s">
        <v>287</v>
      </c>
      <c r="B218" s="75" t="s">
        <v>120</v>
      </c>
    </row>
    <row r="219" spans="1:2" hidden="1">
      <c r="A219" s="74" t="s">
        <v>288</v>
      </c>
      <c r="B219" s="75" t="s">
        <v>120</v>
      </c>
    </row>
    <row r="220" spans="1:2" hidden="1">
      <c r="A220" s="74" t="s">
        <v>289</v>
      </c>
      <c r="B220" s="75" t="s">
        <v>120</v>
      </c>
    </row>
    <row r="221" spans="1:2" hidden="1">
      <c r="A221" s="74" t="s">
        <v>290</v>
      </c>
      <c r="B221" s="75" t="s">
        <v>120</v>
      </c>
    </row>
    <row r="222" spans="1:2" hidden="1">
      <c r="A222" s="74" t="s">
        <v>291</v>
      </c>
      <c r="B222" s="75" t="s">
        <v>120</v>
      </c>
    </row>
    <row r="223" spans="1:2" hidden="1">
      <c r="A223" s="74" t="s">
        <v>292</v>
      </c>
      <c r="B223" s="75" t="s">
        <v>120</v>
      </c>
    </row>
    <row r="224" spans="1:2" hidden="1">
      <c r="A224" s="74" t="s">
        <v>293</v>
      </c>
      <c r="B224" s="75" t="s">
        <v>120</v>
      </c>
    </row>
    <row r="225" spans="1:2" hidden="1">
      <c r="A225" s="74" t="s">
        <v>294</v>
      </c>
      <c r="B225" s="75" t="s">
        <v>120</v>
      </c>
    </row>
    <row r="226" spans="1:2" hidden="1">
      <c r="A226" s="74" t="s">
        <v>295</v>
      </c>
      <c r="B226" s="75" t="s">
        <v>120</v>
      </c>
    </row>
    <row r="227" spans="1:2" hidden="1">
      <c r="A227" s="74" t="s">
        <v>296</v>
      </c>
      <c r="B227" s="75" t="s">
        <v>120</v>
      </c>
    </row>
    <row r="228" spans="1:2" hidden="1">
      <c r="A228" s="74" t="s">
        <v>247</v>
      </c>
      <c r="B228" s="75" t="s">
        <v>320</v>
      </c>
    </row>
    <row r="229" spans="1:2" hidden="1">
      <c r="A229" s="74" t="s">
        <v>248</v>
      </c>
      <c r="B229" s="75" t="s">
        <v>320</v>
      </c>
    </row>
    <row r="230" spans="1:2" hidden="1">
      <c r="A230" s="74" t="s">
        <v>249</v>
      </c>
      <c r="B230" s="75" t="s">
        <v>325</v>
      </c>
    </row>
    <row r="231" spans="1:2" hidden="1">
      <c r="A231" s="74" t="s">
        <v>297</v>
      </c>
      <c r="B231" s="75" t="s">
        <v>119</v>
      </c>
    </row>
    <row r="232" spans="1:2" hidden="1">
      <c r="A232" s="74" t="s">
        <v>298</v>
      </c>
      <c r="B232" s="75" t="s">
        <v>119</v>
      </c>
    </row>
    <row r="233" spans="1:2" hidden="1">
      <c r="A233" s="74" t="s">
        <v>299</v>
      </c>
      <c r="B233" s="75" t="s">
        <v>119</v>
      </c>
    </row>
    <row r="234" spans="1:2" hidden="1">
      <c r="A234" s="74" t="s">
        <v>300</v>
      </c>
      <c r="B234" s="75" t="s">
        <v>119</v>
      </c>
    </row>
    <row r="235" spans="1:2" hidden="1">
      <c r="A235" s="74" t="s">
        <v>301</v>
      </c>
      <c r="B235" s="75" t="s">
        <v>240</v>
      </c>
    </row>
    <row r="236" spans="1:2" hidden="1">
      <c r="A236" s="74" t="s">
        <v>302</v>
      </c>
      <c r="B236" s="75" t="s">
        <v>239</v>
      </c>
    </row>
    <row r="237" spans="1:2" hidden="1">
      <c r="A237" s="74" t="s">
        <v>303</v>
      </c>
      <c r="B237" s="75" t="s">
        <v>241</v>
      </c>
    </row>
    <row r="238" spans="1:2" hidden="1">
      <c r="A238" s="74" t="s">
        <v>304</v>
      </c>
      <c r="B238" s="75" t="s">
        <v>321</v>
      </c>
    </row>
    <row r="239" spans="1:2" hidden="1">
      <c r="A239" s="74" t="s">
        <v>305</v>
      </c>
      <c r="B239" s="75" t="s">
        <v>322</v>
      </c>
    </row>
    <row r="240" spans="1:2" hidden="1">
      <c r="A240" s="74" t="s">
        <v>306</v>
      </c>
      <c r="B240" s="75" t="s">
        <v>322</v>
      </c>
    </row>
    <row r="241" spans="1:5" hidden="1">
      <c r="A241" s="74" t="s">
        <v>307</v>
      </c>
      <c r="B241" s="75" t="s">
        <v>322</v>
      </c>
    </row>
    <row r="242" spans="1:5" hidden="1">
      <c r="A242" s="74" t="s">
        <v>308</v>
      </c>
      <c r="B242" s="75" t="s">
        <v>323</v>
      </c>
    </row>
    <row r="243" spans="1:5" hidden="1">
      <c r="A243" s="74" t="s">
        <v>309</v>
      </c>
      <c r="B243" s="75" t="s">
        <v>323</v>
      </c>
    </row>
    <row r="244" spans="1:5" hidden="1">
      <c r="A244" s="74" t="s">
        <v>310</v>
      </c>
      <c r="B244" s="75" t="s">
        <v>323</v>
      </c>
    </row>
    <row r="245" spans="1:5" hidden="1">
      <c r="A245" s="74" t="s">
        <v>311</v>
      </c>
      <c r="B245" s="75" t="s">
        <v>323</v>
      </c>
    </row>
    <row r="246" spans="1:5" hidden="1">
      <c r="A246" s="74" t="s">
        <v>312</v>
      </c>
      <c r="B246" s="75" t="s">
        <v>323</v>
      </c>
    </row>
    <row r="247" spans="1:5" hidden="1">
      <c r="A247" s="74" t="s">
        <v>313</v>
      </c>
      <c r="B247" s="75" t="s">
        <v>323</v>
      </c>
    </row>
    <row r="248" spans="1:5" hidden="1">
      <c r="A248" s="74" t="s">
        <v>314</v>
      </c>
      <c r="B248" s="75" t="s">
        <v>323</v>
      </c>
    </row>
    <row r="249" spans="1:5" hidden="1">
      <c r="A249" s="74" t="s">
        <v>315</v>
      </c>
      <c r="B249" s="75" t="s">
        <v>325</v>
      </c>
    </row>
    <row r="250" spans="1:5" hidden="1">
      <c r="A250" s="74" t="s">
        <v>316</v>
      </c>
      <c r="B250" s="75" t="s">
        <v>325</v>
      </c>
    </row>
    <row r="251" spans="1:5" hidden="1">
      <c r="A251" s="74" t="s">
        <v>317</v>
      </c>
      <c r="B251" s="75" t="s">
        <v>325</v>
      </c>
    </row>
    <row r="252" spans="1:5" hidden="1">
      <c r="A252" s="74" t="s">
        <v>318</v>
      </c>
      <c r="B252" s="75" t="s">
        <v>325</v>
      </c>
    </row>
    <row r="253" spans="1:5" hidden="1">
      <c r="A253" s="74" t="s">
        <v>319</v>
      </c>
      <c r="B253" s="75" t="s">
        <v>325</v>
      </c>
    </row>
    <row r="254" spans="1:5" ht="15.75" hidden="1">
      <c r="A254" s="432"/>
      <c r="B254" s="432"/>
      <c r="C254" s="432"/>
      <c r="D254" s="432"/>
      <c r="E254" s="432"/>
    </row>
  </sheetData>
  <sheetProtection password="CE28" sheet="1" objects="1" scenarios="1" selectLockedCells="1"/>
  <mergeCells count="23">
    <mergeCell ref="A1:E1"/>
    <mergeCell ref="A2:E2"/>
    <mergeCell ref="D11:E14"/>
    <mergeCell ref="A9:B9"/>
    <mergeCell ref="A3:E3"/>
    <mergeCell ref="A4:D4"/>
    <mergeCell ref="A13:B13"/>
    <mergeCell ref="C8:E8"/>
    <mergeCell ref="A14:B14"/>
    <mergeCell ref="A5:D5"/>
    <mergeCell ref="A254:E254"/>
    <mergeCell ref="A23:B23"/>
    <mergeCell ref="A22:E22"/>
    <mergeCell ref="A21:E21"/>
    <mergeCell ref="A19:E19"/>
    <mergeCell ref="D9:E9"/>
    <mergeCell ref="B18:E18"/>
    <mergeCell ref="A15:E15"/>
    <mergeCell ref="A6:E6"/>
    <mergeCell ref="A16:E16"/>
    <mergeCell ref="A7:E7"/>
    <mergeCell ref="A10:E10"/>
    <mergeCell ref="A11:B11"/>
  </mergeCells>
  <phoneticPr fontId="41" type="noConversion"/>
  <conditionalFormatting sqref="A2">
    <cfRule type="expression" dxfId="222" priority="7" stopIfTrue="1">
      <formula>ISBLANK(A2)</formula>
    </cfRule>
  </conditionalFormatting>
  <conditionalFormatting sqref="C9">
    <cfRule type="expression" dxfId="221" priority="8" stopIfTrue="1">
      <formula>ISBLANK(C9)</formula>
    </cfRule>
  </conditionalFormatting>
  <conditionalFormatting sqref="A6">
    <cfRule type="expression" dxfId="220" priority="9" stopIfTrue="1">
      <formula>ISBLANK(A6)</formula>
    </cfRule>
  </conditionalFormatting>
  <conditionalFormatting sqref="C11">
    <cfRule type="expression" dxfId="219" priority="6" stopIfTrue="1">
      <formula>ISBLANK(C11)</formula>
    </cfRule>
  </conditionalFormatting>
  <conditionalFormatting sqref="C12">
    <cfRule type="expression" dxfId="218" priority="4" stopIfTrue="1">
      <formula>ISBLANK(C12)</formula>
    </cfRule>
  </conditionalFormatting>
  <conditionalFormatting sqref="C13">
    <cfRule type="expression" dxfId="217" priority="3" stopIfTrue="1">
      <formula>ISBLANK(C13)</formula>
    </cfRule>
  </conditionalFormatting>
  <conditionalFormatting sqref="C14">
    <cfRule type="expression" dxfId="216" priority="2" stopIfTrue="1">
      <formula>ISBLANK(C14)</formula>
    </cfRule>
  </conditionalFormatting>
  <conditionalFormatting sqref="E4">
    <cfRule type="expression" dxfId="215" priority="1" stopIfTrue="1">
      <formula>ISERROR(F4)</formula>
    </cfRule>
    <cfRule type="expression" dxfId="214" priority="17" stopIfTrue="1">
      <formula>LEN(E4)=0</formula>
    </cfRule>
  </conditionalFormatting>
  <conditionalFormatting sqref="A23:B23">
    <cfRule type="expression" dxfId="213" priority="27" stopIfTrue="1">
      <formula>$C$23=0</formula>
    </cfRule>
  </conditionalFormatting>
  <conditionalFormatting sqref="A16:E16">
    <cfRule type="expression" dxfId="212" priority="28" stopIfTrue="1">
      <formula>H39&gt;0</formula>
    </cfRule>
  </conditionalFormatting>
  <conditionalFormatting sqref="A4:D4">
    <cfRule type="expression" dxfId="211" priority="29" stopIfTrue="1">
      <formula>ISERROR(F4)</formula>
    </cfRule>
  </conditionalFormatting>
  <dataValidations xWindow="785" yWindow="542" count="9">
    <dataValidation type="whole" operator="greaterThanOrEqual" allowBlank="1" showErrorMessage="1" errorTitle="ПРЕДУПРЕЖДЕНИЕ" error="Введено недопустимое значение" sqref="C11">
      <formula1>0</formula1>
    </dataValidation>
    <dataValidation type="whole" operator="lessThanOrEqual" allowBlank="1" showErrorMessage="1" errorTitle="ОШИБКА" error="Введенное число инвалидов превышает общее число работников в организации либо число не является целым._x000a_Пожалуйста, проверьте введенные данные и внесите соответствующие изменения" sqref="C14">
      <formula1>C11</formula1>
    </dataValidation>
    <dataValidation type="whole" operator="lessThanOrEqual" allowBlank="1" showErrorMessage="1" errorTitle="ОШИБКА" error="Введенное число лиц моложе 18 лет превышает общее число работников в организации либо число не является целым._x000a_Пожалуйста, проверьте введенные данные и внесите соответствующие изменения" sqref="C13">
      <formula1>C11</formula1>
    </dataValidation>
    <dataValidation type="whole" operator="lessThanOrEqual" allowBlank="1" showErrorMessage="1" errorTitle="ОШИБКА" error="Введенное число женщин превышает общее число работников в организации либо число не является целым._x000a_Пожалуйста, проверьте введенные данные и внесите соответствующие изменения" sqref="C12">
      <formula1>C11</formula1>
    </dataValidation>
    <dataValidation allowBlank="1" showInputMessage="1" showErrorMessage="1" promptTitle="ПОДСКАЗКА" prompt="Введите последовательно фамилию, имя и отчество заполнившего данную форму. Информация используется только в целях контакта при необходимости корректировки или уточнения сведений" sqref="B18:E18"/>
    <dataValidation allowBlank="1" showInputMessage="1" promptTitle="ПОДСКАЗКА" prompt="Введите полное наименование организации согласно ее учредительным документам (уставу, положению и т.д.)" sqref="A2"/>
    <dataValidation type="whole" operator="greaterThanOrEqual" allowBlank="1" showInputMessage="1" showErrorMessage="1" errorTitle="ВНИМАНИЕ!" error="Введено недопустимое значение" promptTitle="ПОДСКАЗКА" prompt="Принимается равной:_x000a_      - штатным единицам при отсутствии специальной оценки условий труда (СОУТ) или аттестации рабочих мест по условиям труда (АРМ);_x000a_      - по перечню рабочих мест при полном завершении СОУТ или АРМ." sqref="C9">
      <formula1>0</formula1>
    </dataValidation>
    <dataValidation allowBlank="1" showInputMessage="1" promptTitle="ПОДСКАЗКА" prompt="Адрес, по которому находится основное производство" sqref="A6:E6"/>
    <dataValidation type="list" allowBlank="1" showInputMessage="1" showErrorMessage="1" promptTitle="ПОДСКАЗКА" prompt="Щелкните по ячейке и в появившемся списке быберите необходимое значение, щелкнув по нему курсором мыши._x000a_Для очистки ячейки нажмите клавишу &quot;Delete&quot; на клавиатуре." sqref="B8">
      <formula1>F28:F31</formula1>
    </dataValidation>
  </dataValidations>
  <printOptions horizontalCentered="1"/>
  <pageMargins left="0.39370078740157483" right="0.39370078740157483" top="1.1811023622047245" bottom="0.59055118110236227" header="0.31496062992125984" footer="0.31496062992125984"/>
  <pageSetup paperSize="9" orientation="portrait" blackAndWhite="1" horizontalDpi="180" verticalDpi="180" r:id="rId1"/>
  <headerFooter differentFirst="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0" r:id="rId4" name="Check Box 12">
              <controlPr defaultSize="0" print="0" autoFill="0" autoLine="0" autoPict="0">
                <anchor moveWithCells="1">
                  <from>
                    <xdr:col>0</xdr:col>
                    <xdr:colOff>28575</xdr:colOff>
                    <xdr:row>23</xdr:row>
                    <xdr:rowOff>9525</xdr:rowOff>
                  </from>
                  <to>
                    <xdr:col>1</xdr:col>
                    <xdr:colOff>323850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14"/>
    <pageSetUpPr autoPageBreaks="0" fitToPage="1"/>
  </sheetPr>
  <dimension ref="A1:X338"/>
  <sheetViews>
    <sheetView showGridLines="0" showRowColHeaders="0" showZeros="0" topLeftCell="A17" zoomScale="125" zoomScaleNormal="135" workbookViewId="0">
      <selection activeCell="A26" sqref="A26:P26"/>
    </sheetView>
  </sheetViews>
  <sheetFormatPr defaultRowHeight="18.75"/>
  <cols>
    <col min="1" max="7" width="5.7109375" style="39" customWidth="1"/>
    <col min="8" max="8" width="4.28515625" style="39" customWidth="1"/>
    <col min="9" max="9" width="5.28515625" style="39" customWidth="1"/>
    <col min="10" max="13" width="5.7109375" style="39" customWidth="1"/>
    <col min="14" max="16" width="4.7109375" style="39" customWidth="1"/>
    <col min="17" max="17" width="9.140625" style="111" hidden="1" customWidth="1"/>
    <col min="18" max="18" width="10.5703125" style="113" hidden="1" customWidth="1"/>
    <col min="19" max="19" width="22.42578125" style="113" hidden="1" customWidth="1"/>
    <col min="20" max="23" width="9.140625" style="113" hidden="1" customWidth="1"/>
    <col min="24" max="24" width="9.140625" style="113"/>
    <col min="25" max="16384" width="9.140625" style="39"/>
  </cols>
  <sheetData>
    <row r="1" spans="1:24" ht="42" customHeight="1">
      <c r="A1" s="466" t="s">
        <v>392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R1" s="112"/>
      <c r="X1" s="388"/>
    </row>
    <row r="2" spans="1:24" ht="30" customHeight="1">
      <c r="A2" s="471" t="s">
        <v>390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R2" s="112"/>
      <c r="X2" s="388"/>
    </row>
    <row r="3" spans="1:24" ht="17.25" customHeight="1">
      <c r="A3" s="467" t="s">
        <v>168</v>
      </c>
      <c r="B3" s="467"/>
      <c r="C3" s="467"/>
      <c r="D3" s="457" t="s">
        <v>582</v>
      </c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R3" s="112" t="str">
        <f>TRIM(D3)</f>
        <v>Котова Анна Алексеевна</v>
      </c>
      <c r="X3" s="388"/>
    </row>
    <row r="4" spans="1:24" s="40" customFormat="1" ht="9" customHeight="1">
      <c r="A4" s="365"/>
      <c r="B4" s="365"/>
      <c r="C4" s="365"/>
      <c r="D4" s="468" t="s">
        <v>169</v>
      </c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114"/>
      <c r="R4" s="112"/>
      <c r="S4" s="115"/>
      <c r="T4" s="115"/>
      <c r="U4" s="115"/>
      <c r="V4" s="115"/>
      <c r="W4" s="115"/>
      <c r="X4" s="389"/>
    </row>
    <row r="5" spans="1:24" ht="29.25" customHeight="1">
      <c r="A5" s="470" t="s">
        <v>170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R5" s="112"/>
      <c r="X5" s="388"/>
    </row>
    <row r="6" spans="1:24" ht="16.5" customHeight="1">
      <c r="A6" s="472" t="s">
        <v>583</v>
      </c>
      <c r="B6" s="472"/>
      <c r="C6" s="472"/>
      <c r="D6" s="472"/>
      <c r="E6" s="472"/>
      <c r="F6" s="472"/>
      <c r="G6" s="472"/>
      <c r="H6" s="472"/>
      <c r="I6" s="472"/>
      <c r="J6" s="472"/>
      <c r="K6" s="472"/>
      <c r="L6" s="472"/>
      <c r="M6" s="472"/>
      <c r="N6" s="472"/>
      <c r="O6" s="472"/>
      <c r="P6" s="472"/>
      <c r="Q6" s="111">
        <f>LEN(A6)</f>
        <v>37</v>
      </c>
      <c r="X6" s="388"/>
    </row>
    <row r="7" spans="1:24" ht="3" customHeight="1">
      <c r="A7" s="466"/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  <c r="X7" s="388"/>
    </row>
    <row r="8" spans="1:24" ht="17.25" customHeight="1">
      <c r="A8" s="469" t="s">
        <v>391</v>
      </c>
      <c r="B8" s="469"/>
      <c r="C8" s="469"/>
      <c r="D8" s="469"/>
      <c r="E8" s="469"/>
      <c r="F8" s="469"/>
      <c r="G8" s="469"/>
      <c r="H8" s="469"/>
      <c r="I8" s="128"/>
      <c r="J8" s="56" t="s">
        <v>234</v>
      </c>
      <c r="K8" s="458" t="str">
        <f>IF(AND(Q6=19,I8=0),"← Укажите численность службы","")</f>
        <v/>
      </c>
      <c r="L8" s="458"/>
      <c r="M8" s="458"/>
      <c r="N8" s="458"/>
      <c r="O8" s="458"/>
      <c r="P8" s="458"/>
      <c r="R8" s="113">
        <f>LEN(I8)</f>
        <v>0</v>
      </c>
      <c r="S8" s="113">
        <f>IF(AND(Q6=19,I8=0),1,0)</f>
        <v>0</v>
      </c>
      <c r="X8" s="388"/>
    </row>
    <row r="9" spans="1:24" ht="24" customHeight="1">
      <c r="A9" s="467" t="s">
        <v>159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123" t="s">
        <v>584</v>
      </c>
      <c r="M9" s="366"/>
      <c r="N9" s="367"/>
      <c r="O9" s="366"/>
      <c r="P9" s="367"/>
      <c r="Q9" s="111" t="str">
        <f>L9</f>
        <v>нет</v>
      </c>
      <c r="T9" s="113">
        <f>LEN(L9)</f>
        <v>3</v>
      </c>
      <c r="X9" s="388"/>
    </row>
    <row r="10" spans="1:24" ht="9" customHeight="1">
      <c r="A10" s="367"/>
      <c r="B10" s="367"/>
      <c r="C10" s="367"/>
      <c r="D10" s="367"/>
      <c r="E10" s="367"/>
      <c r="F10" s="367"/>
      <c r="G10" s="367"/>
      <c r="H10" s="367"/>
      <c r="I10" s="367"/>
      <c r="J10" s="367"/>
      <c r="K10" s="367"/>
      <c r="L10" s="368" t="s">
        <v>393</v>
      </c>
      <c r="M10" s="367"/>
      <c r="N10" s="367"/>
      <c r="O10" s="367"/>
      <c r="P10" s="367"/>
      <c r="X10" s="388"/>
    </row>
    <row r="11" spans="1:24" ht="75" customHeight="1">
      <c r="A11" s="473" t="s">
        <v>458</v>
      </c>
      <c r="B11" s="473"/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X11" s="388"/>
    </row>
    <row r="12" spans="1:24" ht="7.5" customHeight="1">
      <c r="A12" s="475"/>
      <c r="B12" s="475"/>
      <c r="C12" s="475"/>
      <c r="D12" s="475"/>
      <c r="E12" s="475"/>
      <c r="F12" s="119"/>
      <c r="G12" s="475"/>
      <c r="H12" s="475"/>
      <c r="I12" s="475"/>
      <c r="J12" s="475"/>
      <c r="K12" s="119"/>
      <c r="L12" s="475"/>
      <c r="M12" s="475"/>
      <c r="N12" s="475"/>
      <c r="O12" s="475"/>
      <c r="P12" s="475"/>
      <c r="R12" s="111"/>
      <c r="X12" s="388"/>
    </row>
    <row r="13" spans="1:24" ht="21" hidden="1" customHeight="1">
      <c r="A13" s="474"/>
      <c r="B13" s="474"/>
      <c r="C13" s="474"/>
      <c r="D13" s="474"/>
      <c r="E13" s="474"/>
      <c r="F13" s="119"/>
      <c r="G13" s="474"/>
      <c r="H13" s="474"/>
      <c r="I13" s="474"/>
      <c r="J13" s="474"/>
      <c r="K13" s="119"/>
      <c r="L13" s="474"/>
      <c r="M13" s="474"/>
      <c r="N13" s="474"/>
      <c r="O13" s="474"/>
      <c r="P13" s="474"/>
      <c r="R13" s="111"/>
      <c r="X13" s="388"/>
    </row>
    <row r="14" spans="1:24" ht="21" customHeight="1">
      <c r="A14" s="465" t="s">
        <v>512</v>
      </c>
      <c r="B14" s="465"/>
      <c r="C14" s="465"/>
      <c r="D14" s="476">
        <v>1983</v>
      </c>
      <c r="E14" s="476"/>
      <c r="F14" s="120"/>
      <c r="G14" s="120"/>
      <c r="H14" s="120"/>
      <c r="I14" s="119"/>
      <c r="J14" s="119"/>
      <c r="K14" s="119"/>
      <c r="L14" s="119"/>
      <c r="M14" s="119"/>
      <c r="N14" s="119"/>
      <c r="O14" s="119"/>
      <c r="P14" s="119"/>
      <c r="R14" s="111">
        <f>LEN(D14)</f>
        <v>4</v>
      </c>
      <c r="X14" s="388"/>
    </row>
    <row r="15" spans="1:24" ht="37.5" customHeight="1">
      <c r="A15" s="447" t="s">
        <v>171</v>
      </c>
      <c r="B15" s="447"/>
      <c r="C15" s="447"/>
      <c r="D15" s="464" t="s">
        <v>585</v>
      </c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R15" s="111" t="str">
        <f>D15</f>
        <v>высшее</v>
      </c>
      <c r="S15" s="113">
        <f>LEN(D15)</f>
        <v>6</v>
      </c>
      <c r="X15" s="388"/>
    </row>
    <row r="16" spans="1:24" s="40" customFormat="1" ht="11.25" customHeight="1">
      <c r="A16" s="448"/>
      <c r="B16" s="448"/>
      <c r="C16" s="448"/>
      <c r="D16" s="451" t="s">
        <v>513</v>
      </c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111"/>
      <c r="R16" s="111"/>
      <c r="S16" s="115"/>
      <c r="T16" s="115"/>
      <c r="U16" s="115"/>
      <c r="V16" s="115"/>
      <c r="W16" s="115"/>
      <c r="X16" s="389"/>
    </row>
    <row r="17" spans="1:24" ht="15" customHeight="1">
      <c r="A17" s="447" t="s">
        <v>395</v>
      </c>
      <c r="B17" s="447"/>
      <c r="C17" s="447"/>
      <c r="D17" s="447"/>
      <c r="E17" s="447"/>
      <c r="F17" s="447"/>
      <c r="G17" s="446" t="s">
        <v>586</v>
      </c>
      <c r="H17" s="446"/>
      <c r="I17" s="446"/>
      <c r="J17" s="446"/>
      <c r="K17" s="446"/>
      <c r="L17" s="446"/>
      <c r="M17" s="446"/>
      <c r="N17" s="446"/>
      <c r="O17" s="446"/>
      <c r="P17" s="446"/>
      <c r="R17" s="111">
        <f>LEN(G17)</f>
        <v>13</v>
      </c>
      <c r="S17" s="113" t="str">
        <f>TRIM(G17)</f>
        <v>юриспруденция</v>
      </c>
      <c r="X17" s="388"/>
    </row>
    <row r="18" spans="1:24" ht="20.25" customHeight="1">
      <c r="A18" s="447" t="s">
        <v>138</v>
      </c>
      <c r="B18" s="447"/>
      <c r="C18" s="447"/>
      <c r="D18" s="447"/>
      <c r="E18" s="447"/>
      <c r="F18" s="447"/>
      <c r="G18" s="447"/>
      <c r="H18" s="447"/>
      <c r="I18" s="447"/>
      <c r="J18" s="447"/>
      <c r="K18" s="119"/>
      <c r="L18" s="119"/>
      <c r="M18" s="119"/>
      <c r="N18" s="119"/>
      <c r="O18" s="119"/>
      <c r="P18" s="119"/>
      <c r="X18" s="388"/>
    </row>
    <row r="19" spans="1:24" ht="15" customHeight="1">
      <c r="A19" s="446" t="s">
        <v>587</v>
      </c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46"/>
      <c r="M19" s="446"/>
      <c r="N19" s="446"/>
      <c r="O19" s="446"/>
      <c r="P19" s="446"/>
      <c r="R19" s="113">
        <f>LEN(A19)</f>
        <v>12</v>
      </c>
      <c r="S19" s="113" t="str">
        <f>TRIM(A19)</f>
        <v>юрисконсульт</v>
      </c>
      <c r="X19" s="388"/>
    </row>
    <row r="20" spans="1:24" ht="21" customHeight="1">
      <c r="A20" s="447" t="s">
        <v>14</v>
      </c>
      <c r="B20" s="447"/>
      <c r="C20" s="447"/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307">
        <v>1</v>
      </c>
      <c r="O20" s="295" t="s">
        <v>139</v>
      </c>
      <c r="P20" s="119"/>
      <c r="R20" s="113">
        <f>LEN(N20)</f>
        <v>1</v>
      </c>
      <c r="X20" s="388"/>
    </row>
    <row r="21" spans="1:24" ht="16.5" customHeight="1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55"/>
      <c r="O21" s="295"/>
      <c r="P21" s="119"/>
      <c r="X21" s="388"/>
    </row>
    <row r="22" spans="1:24" ht="17.25" customHeight="1">
      <c r="A22" s="461" t="s">
        <v>140</v>
      </c>
      <c r="B22" s="461"/>
      <c r="C22" s="461"/>
      <c r="D22" s="461"/>
      <c r="E22" s="461"/>
      <c r="F22" s="461"/>
      <c r="G22" s="461"/>
      <c r="H22" s="461"/>
      <c r="I22" s="308">
        <v>40</v>
      </c>
      <c r="J22" s="447" t="s">
        <v>243</v>
      </c>
      <c r="K22" s="447"/>
      <c r="L22" s="447"/>
      <c r="M22" s="447"/>
      <c r="N22" s="447"/>
      <c r="O22" s="447"/>
      <c r="P22" s="119"/>
      <c r="R22" s="113">
        <f>LEN(I22)</f>
        <v>2</v>
      </c>
      <c r="X22" s="388"/>
    </row>
    <row r="23" spans="1:24" ht="17.25" customHeight="1">
      <c r="A23" s="461" t="s">
        <v>242</v>
      </c>
      <c r="B23" s="461"/>
      <c r="C23" s="461"/>
      <c r="D23" s="461"/>
      <c r="E23" s="461"/>
      <c r="F23" s="461"/>
      <c r="G23" s="461"/>
      <c r="H23" s="461"/>
      <c r="I23" s="461"/>
      <c r="J23" s="461"/>
      <c r="K23" s="461"/>
      <c r="L23" s="461"/>
      <c r="M23" s="461"/>
      <c r="N23" s="463">
        <v>43189</v>
      </c>
      <c r="O23" s="463"/>
      <c r="P23" s="463"/>
      <c r="R23" s="113">
        <f>LEN(N23)</f>
        <v>5</v>
      </c>
      <c r="X23" s="388"/>
    </row>
    <row r="24" spans="1:24" ht="22.5" customHeight="1">
      <c r="A24" s="379" t="s">
        <v>404</v>
      </c>
      <c r="B24" s="450" t="s">
        <v>403</v>
      </c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X24" s="388"/>
    </row>
    <row r="25" spans="1:24" ht="82.5" customHeight="1">
      <c r="A25" s="449" t="s">
        <v>459</v>
      </c>
      <c r="B25" s="449"/>
      <c r="C25" s="449"/>
      <c r="D25" s="449"/>
      <c r="E25" s="449"/>
      <c r="F25" s="449"/>
      <c r="G25" s="449"/>
      <c r="H25" s="449"/>
      <c r="I25" s="449"/>
      <c r="J25" s="449"/>
      <c r="K25" s="449"/>
      <c r="L25" s="449"/>
      <c r="M25" s="449"/>
      <c r="N25" s="449"/>
      <c r="O25" s="449"/>
      <c r="P25" s="449"/>
      <c r="S25" s="116"/>
      <c r="X25" s="390"/>
    </row>
    <row r="26" spans="1:24" ht="21" customHeight="1">
      <c r="A26" s="453"/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111">
        <f>A26</f>
        <v>0</v>
      </c>
      <c r="R26" s="113">
        <f>LEN(A26)</f>
        <v>0</v>
      </c>
      <c r="S26" s="386"/>
      <c r="X26" s="390"/>
    </row>
    <row r="27" spans="1:24" ht="21" customHeight="1">
      <c r="A27" s="124"/>
      <c r="B27" s="124"/>
      <c r="C27" s="124"/>
      <c r="D27" s="124"/>
      <c r="E27" s="125"/>
      <c r="F27" s="125"/>
      <c r="G27" s="125"/>
      <c r="H27" s="125"/>
      <c r="I27" s="125"/>
      <c r="J27" s="126"/>
      <c r="K27" s="126"/>
      <c r="L27" s="126"/>
      <c r="M27" s="127"/>
      <c r="N27" s="127"/>
      <c r="O27" s="122"/>
      <c r="P27" s="122"/>
      <c r="Q27" s="117"/>
      <c r="X27" s="390"/>
    </row>
    <row r="28" spans="1:24" ht="21" customHeight="1">
      <c r="A28" s="380" t="s">
        <v>404</v>
      </c>
      <c r="B28" s="121" t="s">
        <v>456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17"/>
      <c r="X28" s="390"/>
    </row>
    <row r="29" spans="1:24" ht="21" customHeight="1">
      <c r="A29" s="381"/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117"/>
      <c r="S29" s="387"/>
      <c r="X29" s="391"/>
    </row>
    <row r="30" spans="1:24" s="41" customFormat="1" ht="23.25" customHeight="1">
      <c r="A30" s="456" t="s">
        <v>406</v>
      </c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117"/>
      <c r="R30" s="118"/>
      <c r="S30" s="118"/>
      <c r="T30" s="118"/>
      <c r="U30" s="118"/>
      <c r="V30" s="118"/>
      <c r="W30" s="118"/>
      <c r="X30" s="392"/>
    </row>
    <row r="31" spans="1:24">
      <c r="A31" s="369"/>
      <c r="B31" s="369"/>
      <c r="C31" s="455"/>
      <c r="D31" s="455"/>
      <c r="E31" s="455"/>
      <c r="F31" s="369"/>
      <c r="G31" s="369"/>
      <c r="H31" s="369"/>
      <c r="I31" s="455"/>
      <c r="J31" s="455"/>
      <c r="K31" s="455"/>
      <c r="L31" s="369"/>
      <c r="M31" s="370" t="s">
        <v>141</v>
      </c>
      <c r="N31" s="455"/>
      <c r="O31" s="455"/>
      <c r="P31" s="369"/>
      <c r="Q31" s="117"/>
      <c r="X31" s="391"/>
    </row>
    <row r="32" spans="1:24">
      <c r="A32" s="369"/>
      <c r="B32" s="369"/>
      <c r="C32" s="454"/>
      <c r="D32" s="454"/>
      <c r="E32" s="454"/>
      <c r="F32" s="369"/>
      <c r="G32" s="369"/>
      <c r="H32" s="369"/>
      <c r="I32" s="454"/>
      <c r="J32" s="454"/>
      <c r="K32" s="454"/>
      <c r="L32" s="369"/>
      <c r="M32" s="369"/>
      <c r="N32" s="369"/>
      <c r="O32" s="369"/>
      <c r="P32" s="369"/>
      <c r="X32" s="391"/>
    </row>
    <row r="33" spans="1:24">
      <c r="A33" s="369"/>
      <c r="B33" s="369"/>
      <c r="C33" s="452" t="s">
        <v>494</v>
      </c>
      <c r="D33" s="452"/>
      <c r="E33" s="452"/>
      <c r="F33" s="369"/>
      <c r="G33" s="369"/>
      <c r="H33" s="369"/>
      <c r="I33" s="452" t="s">
        <v>495</v>
      </c>
      <c r="J33" s="452"/>
      <c r="K33" s="452"/>
      <c r="L33" s="369"/>
      <c r="M33" s="369"/>
      <c r="N33" s="369"/>
      <c r="O33" s="369"/>
      <c r="P33" s="369"/>
      <c r="X33" s="391"/>
    </row>
    <row r="34" spans="1:24">
      <c r="A34" s="369"/>
      <c r="B34" s="369"/>
      <c r="C34" s="369"/>
      <c r="D34" s="369"/>
      <c r="E34" s="369"/>
      <c r="F34" s="462"/>
      <c r="G34" s="462"/>
      <c r="H34" s="462"/>
      <c r="I34" s="462"/>
      <c r="J34" s="462"/>
      <c r="K34" s="462"/>
      <c r="L34" s="306"/>
      <c r="M34" s="369"/>
      <c r="N34" s="369"/>
      <c r="O34" s="369"/>
      <c r="P34" s="369"/>
      <c r="X34" s="391"/>
    </row>
    <row r="35" spans="1:24" ht="37.5" customHeight="1">
      <c r="A35" s="369"/>
      <c r="B35" s="369"/>
      <c r="C35" s="369"/>
      <c r="D35" s="369"/>
      <c r="E35" s="369"/>
      <c r="F35" s="452" t="s">
        <v>457</v>
      </c>
      <c r="G35" s="452"/>
      <c r="H35" s="452"/>
      <c r="I35" s="452"/>
      <c r="J35" s="452"/>
      <c r="K35" s="452"/>
      <c r="L35" s="369"/>
      <c r="M35" s="369"/>
      <c r="N35" s="369"/>
      <c r="O35" s="369"/>
      <c r="P35" s="369"/>
      <c r="X35" s="391"/>
    </row>
    <row r="36" spans="1:24">
      <c r="A36" s="372"/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72"/>
      <c r="O36" s="372"/>
      <c r="P36" s="372"/>
      <c r="Q36" s="373"/>
      <c r="R36" s="371"/>
      <c r="S36" s="371"/>
      <c r="T36" s="371"/>
      <c r="U36" s="371"/>
      <c r="V36" s="371"/>
      <c r="W36" s="371"/>
      <c r="X36" s="371"/>
    </row>
    <row r="37" spans="1:24" ht="45" customHeight="1">
      <c r="A37" s="459" t="s">
        <v>499</v>
      </c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373"/>
      <c r="R37" s="371"/>
      <c r="S37" s="371"/>
      <c r="T37" s="371"/>
      <c r="U37" s="371"/>
      <c r="V37" s="371"/>
      <c r="W37" s="371"/>
      <c r="X37" s="371"/>
    </row>
    <row r="38" spans="1:24" ht="15" customHeight="1">
      <c r="A38" s="460"/>
      <c r="B38" s="460"/>
      <c r="C38" s="460"/>
      <c r="D38" s="460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373"/>
      <c r="R38" s="371"/>
      <c r="S38" s="371"/>
      <c r="T38" s="371"/>
      <c r="U38" s="371"/>
      <c r="V38" s="371"/>
      <c r="W38" s="371"/>
      <c r="X38" s="371"/>
    </row>
    <row r="39" spans="1:24" hidden="1"/>
    <row r="40" spans="1:24" hidden="1">
      <c r="A40" s="112" t="s">
        <v>506</v>
      </c>
    </row>
    <row r="41" spans="1:24" hidden="1">
      <c r="A41" s="112" t="s">
        <v>507</v>
      </c>
    </row>
    <row r="42" spans="1:24" hidden="1">
      <c r="A42" s="112" t="s">
        <v>70</v>
      </c>
    </row>
    <row r="43" spans="1:24" hidden="1">
      <c r="A43" s="112" t="s">
        <v>508</v>
      </c>
    </row>
    <row r="44" spans="1:24" hidden="1">
      <c r="A44" s="112" t="s">
        <v>509</v>
      </c>
    </row>
    <row r="45" spans="1:24" hidden="1">
      <c r="A45" s="112" t="s">
        <v>510</v>
      </c>
    </row>
    <row r="46" spans="1:24" hidden="1">
      <c r="A46" s="112" t="s">
        <v>511</v>
      </c>
    </row>
    <row r="47" spans="1:24" hidden="1">
      <c r="A47" s="112" t="s">
        <v>568</v>
      </c>
    </row>
    <row r="48" spans="1:24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</sheetData>
  <sheetProtection password="CE28" sheet="1" objects="1" scenarios="1" selectLockedCells="1"/>
  <mergeCells count="48">
    <mergeCell ref="G13:J13"/>
    <mergeCell ref="L12:P12"/>
    <mergeCell ref="A13:E13"/>
    <mergeCell ref="D14:E14"/>
    <mergeCell ref="A12:E12"/>
    <mergeCell ref="A1:P1"/>
    <mergeCell ref="A9:K9"/>
    <mergeCell ref="D4:P4"/>
    <mergeCell ref="A8:H8"/>
    <mergeCell ref="A7:P7"/>
    <mergeCell ref="A5:P5"/>
    <mergeCell ref="A2:P2"/>
    <mergeCell ref="A3:C3"/>
    <mergeCell ref="A6:P6"/>
    <mergeCell ref="D3:P3"/>
    <mergeCell ref="K8:P8"/>
    <mergeCell ref="A37:P37"/>
    <mergeCell ref="A38:P38"/>
    <mergeCell ref="J22:O22"/>
    <mergeCell ref="A20:M20"/>
    <mergeCell ref="A22:H22"/>
    <mergeCell ref="F34:K34"/>
    <mergeCell ref="A23:M23"/>
    <mergeCell ref="N23:P23"/>
    <mergeCell ref="D15:P15"/>
    <mergeCell ref="A14:C14"/>
    <mergeCell ref="A11:P11"/>
    <mergeCell ref="A15:C15"/>
    <mergeCell ref="L13:P13"/>
    <mergeCell ref="G12:J12"/>
    <mergeCell ref="F35:K35"/>
    <mergeCell ref="A26:P26"/>
    <mergeCell ref="C32:E32"/>
    <mergeCell ref="I31:K31"/>
    <mergeCell ref="I32:K32"/>
    <mergeCell ref="N31:O31"/>
    <mergeCell ref="C31:E31"/>
    <mergeCell ref="A30:P30"/>
    <mergeCell ref="C33:E33"/>
    <mergeCell ref="I33:K33"/>
    <mergeCell ref="G17:P17"/>
    <mergeCell ref="A18:J18"/>
    <mergeCell ref="A16:C16"/>
    <mergeCell ref="A25:P25"/>
    <mergeCell ref="B24:P24"/>
    <mergeCell ref="A19:P19"/>
    <mergeCell ref="A17:F17"/>
    <mergeCell ref="D16:P16"/>
  </mergeCells>
  <phoneticPr fontId="46" type="noConversion"/>
  <conditionalFormatting sqref="A29">
    <cfRule type="expression" dxfId="210" priority="28" stopIfTrue="1">
      <formula>A7="аккредитованная организация"</formula>
    </cfRule>
  </conditionalFormatting>
  <conditionalFormatting sqref="A12:E12">
    <cfRule type="expression" dxfId="209" priority="26" stopIfTrue="1">
      <formula>A6="аккредитованная организация"</formula>
    </cfRule>
  </conditionalFormatting>
  <conditionalFormatting sqref="G12:J12">
    <cfRule type="expression" dxfId="208" priority="25" stopIfTrue="1">
      <formula>A6="аккредитованная организация"</formula>
    </cfRule>
  </conditionalFormatting>
  <conditionalFormatting sqref="L12:P12">
    <cfRule type="expression" dxfId="207" priority="24" stopIfTrue="1">
      <formula>A6="аккредитованная организация"</formula>
    </cfRule>
  </conditionalFormatting>
  <conditionalFormatting sqref="A13:E13">
    <cfRule type="expression" dxfId="206" priority="23" stopIfTrue="1">
      <formula>A6="аккредитованная организация"</formula>
    </cfRule>
  </conditionalFormatting>
  <conditionalFormatting sqref="G13:J13">
    <cfRule type="expression" dxfId="205" priority="22" stopIfTrue="1">
      <formula>A6="аккредитованная организация"</formula>
    </cfRule>
  </conditionalFormatting>
  <conditionalFormatting sqref="L13:P13">
    <cfRule type="expression" dxfId="204" priority="21" stopIfTrue="1">
      <formula>A6="аккредитованная организация"</formula>
    </cfRule>
  </conditionalFormatting>
  <conditionalFormatting sqref="A37:P37">
    <cfRule type="expression" dxfId="203" priority="78" stopIfTrue="1">
      <formula>A6="аккредитованная организация"</formula>
    </cfRule>
  </conditionalFormatting>
  <conditionalFormatting sqref="F14:H14">
    <cfRule type="expression" dxfId="202" priority="120" stopIfTrue="1">
      <formula>C6="аккредитованная организация"</formula>
    </cfRule>
  </conditionalFormatting>
  <conditionalFormatting sqref="A38:P38">
    <cfRule type="expression" dxfId="201" priority="124" stopIfTrue="1">
      <formula>A6="аккредитованная организация"</formula>
    </cfRule>
  </conditionalFormatting>
  <conditionalFormatting sqref="L9">
    <cfRule type="expression" dxfId="200" priority="135" stopIfTrue="1">
      <formula>T9=0</formula>
    </cfRule>
  </conditionalFormatting>
  <conditionalFormatting sqref="A6:P6">
    <cfRule type="expression" dxfId="199" priority="136" stopIfTrue="1">
      <formula>Q6=0</formula>
    </cfRule>
  </conditionalFormatting>
  <conditionalFormatting sqref="A8:H8">
    <cfRule type="expression" dxfId="198" priority="137" stopIfTrue="1">
      <formula>Q6=19</formula>
    </cfRule>
  </conditionalFormatting>
  <conditionalFormatting sqref="J8">
    <cfRule type="expression" dxfId="197" priority="138" stopIfTrue="1">
      <formula>Q6=19</formula>
    </cfRule>
  </conditionalFormatting>
  <conditionalFormatting sqref="A25:P25">
    <cfRule type="expression" dxfId="196" priority="139" stopIfTrue="1">
      <formula>Q6=27</formula>
    </cfRule>
  </conditionalFormatting>
  <conditionalFormatting sqref="A18:J18">
    <cfRule type="expression" dxfId="195" priority="140" stopIfTrue="1">
      <formula>OR(Q6=27,Q6=39,Q6=74)</formula>
    </cfRule>
  </conditionalFormatting>
  <conditionalFormatting sqref="A17:F17">
    <cfRule type="expression" dxfId="194" priority="141" stopIfTrue="1">
      <formula>OR(Q6=27,Q6=39)</formula>
    </cfRule>
  </conditionalFormatting>
  <conditionalFormatting sqref="A20:M20">
    <cfRule type="expression" dxfId="193" priority="142" stopIfTrue="1">
      <formula>OR(Q6=27,Q6=39)</formula>
    </cfRule>
  </conditionalFormatting>
  <conditionalFormatting sqref="O20">
    <cfRule type="expression" dxfId="192" priority="143" stopIfTrue="1">
      <formula>OR(Q6=27,Q6=39)</formula>
    </cfRule>
  </conditionalFormatting>
  <conditionalFormatting sqref="A11:P11">
    <cfRule type="expression" dxfId="191" priority="144" stopIfTrue="1">
      <formula>Q6=27</formula>
    </cfRule>
    <cfRule type="expression" dxfId="190" priority="145" stopIfTrue="1">
      <formula>Q6=39</formula>
    </cfRule>
  </conditionalFormatting>
  <conditionalFormatting sqref="A14:C14">
    <cfRule type="expression" dxfId="189" priority="146" stopIfTrue="1">
      <formula>Q6=27</formula>
    </cfRule>
    <cfRule type="expression" dxfId="188" priority="147" stopIfTrue="1">
      <formula>Q6=39</formula>
    </cfRule>
  </conditionalFormatting>
  <conditionalFormatting sqref="A15:C15">
    <cfRule type="expression" dxfId="187" priority="148" stopIfTrue="1">
      <formula>Q6=27</formula>
    </cfRule>
    <cfRule type="expression" dxfId="186" priority="149" stopIfTrue="1">
      <formula>Q6=39</formula>
    </cfRule>
  </conditionalFormatting>
  <conditionalFormatting sqref="A22:H22">
    <cfRule type="expression" dxfId="185" priority="150" stopIfTrue="1">
      <formula>Q6=27</formula>
    </cfRule>
  </conditionalFormatting>
  <conditionalFormatting sqref="J22:O22">
    <cfRule type="expression" dxfId="184" priority="151" stopIfTrue="1">
      <formula>Q6=27</formula>
    </cfRule>
  </conditionalFormatting>
  <conditionalFormatting sqref="A23:M23">
    <cfRule type="expression" dxfId="183" priority="152" stopIfTrue="1">
      <formula>Q6=27</formula>
    </cfRule>
  </conditionalFormatting>
  <conditionalFormatting sqref="A24">
    <cfRule type="expression" dxfId="182" priority="153" stopIfTrue="1">
      <formula>Q6=27</formula>
    </cfRule>
  </conditionalFormatting>
  <conditionalFormatting sqref="B24:P24">
    <cfRule type="expression" dxfId="181" priority="154" stopIfTrue="1">
      <formula>Q6=27</formula>
    </cfRule>
  </conditionalFormatting>
  <conditionalFormatting sqref="A28">
    <cfRule type="expression" dxfId="180" priority="155" stopIfTrue="1">
      <formula>Q6=27</formula>
    </cfRule>
  </conditionalFormatting>
  <conditionalFormatting sqref="I8">
    <cfRule type="expression" dxfId="179" priority="156" stopIfTrue="1">
      <formula>AND(Q6=19,R8=0)</formula>
    </cfRule>
    <cfRule type="expression" dxfId="178" priority="157" stopIfTrue="1">
      <formula>Q6=19</formula>
    </cfRule>
  </conditionalFormatting>
  <conditionalFormatting sqref="G17:P17">
    <cfRule type="expression" dxfId="177" priority="158" stopIfTrue="1">
      <formula>OR(Q6=27,Q6=39)</formula>
    </cfRule>
    <cfRule type="expression" dxfId="176" priority="159" stopIfTrue="1">
      <formula>R17=0</formula>
    </cfRule>
  </conditionalFormatting>
  <conditionalFormatting sqref="D15">
    <cfRule type="expression" dxfId="175" priority="160" stopIfTrue="1">
      <formula>OR(Q6=27,Q6=39)</formula>
    </cfRule>
    <cfRule type="expression" dxfId="174" priority="161" stopIfTrue="1">
      <formula>S15=0</formula>
    </cfRule>
  </conditionalFormatting>
  <conditionalFormatting sqref="D14:E14">
    <cfRule type="expression" dxfId="173" priority="162" stopIfTrue="1">
      <formula>OR(Q6=27,Q6=39)</formula>
    </cfRule>
    <cfRule type="expression" dxfId="172" priority="163" stopIfTrue="1">
      <formula>R14=0</formula>
    </cfRule>
  </conditionalFormatting>
  <conditionalFormatting sqref="D3:P3">
    <cfRule type="expression" dxfId="171" priority="164" stopIfTrue="1">
      <formula>LEN(D3)&gt;0</formula>
    </cfRule>
  </conditionalFormatting>
  <conditionalFormatting sqref="C31:E32 F34:K34 N31:O31 I32:K32">
    <cfRule type="expression" dxfId="170" priority="165" stopIfTrue="1">
      <formula>LEN(C31)=0</formula>
    </cfRule>
  </conditionalFormatting>
  <conditionalFormatting sqref="A19:P19">
    <cfRule type="expression" dxfId="169" priority="166" stopIfTrue="1">
      <formula>OR(Q6=27,Q6=39,Q6=74)</formula>
    </cfRule>
    <cfRule type="expression" dxfId="168" priority="167" stopIfTrue="1">
      <formula>R19=0</formula>
    </cfRule>
  </conditionalFormatting>
  <conditionalFormatting sqref="N20">
    <cfRule type="expression" dxfId="167" priority="168" stopIfTrue="1">
      <formula>OR(Q6=27,Q6=39)</formula>
    </cfRule>
    <cfRule type="expression" dxfId="166" priority="169" stopIfTrue="1">
      <formula>R20=0</formula>
    </cfRule>
  </conditionalFormatting>
  <conditionalFormatting sqref="I22">
    <cfRule type="expression" dxfId="165" priority="170" stopIfTrue="1">
      <formula>Q6=27</formula>
    </cfRule>
    <cfRule type="expression" dxfId="164" priority="171" stopIfTrue="1">
      <formula>R22=0</formula>
    </cfRule>
  </conditionalFormatting>
  <conditionalFormatting sqref="N23:P23">
    <cfRule type="expression" dxfId="163" priority="172" stopIfTrue="1">
      <formula>Q6=27</formula>
    </cfRule>
    <cfRule type="expression" dxfId="162" priority="173" stopIfTrue="1">
      <formula>R23=0</formula>
    </cfRule>
  </conditionalFormatting>
  <conditionalFormatting sqref="A26:P26">
    <cfRule type="expression" dxfId="161" priority="174" stopIfTrue="1">
      <formula>AND(R26=0,Q6=27)</formula>
    </cfRule>
  </conditionalFormatting>
  <conditionalFormatting sqref="I31:K31">
    <cfRule type="expression" dxfId="160" priority="175" stopIfTrue="1">
      <formula>LEN(I31)=0</formula>
    </cfRule>
  </conditionalFormatting>
  <dataValidations count="13">
    <dataValidation type="list" allowBlank="1" showInputMessage="1" showErrorMessage="1" prompt="Выберите из списка" sqref="L9">
      <formula1>"да,нет"</formula1>
    </dataValidation>
    <dataValidation type="list" allowBlank="1" showErrorMessage="1" prompt="Выберите из списка" sqref="A6:P6">
      <formula1>"служба охраны труда,специалист по охране труда,уполномоченный работодателем работник,специалист, выполняющий функции по гражданско-правовому договору,аккредитованная организация,работодатель (представитель нанимателя)"</formula1>
    </dataValidation>
    <dataValidation type="date" operator="lessThanOrEqual" allowBlank="1" showInputMessage="1" showErrorMessage="1" errorTitle="ВНИМАНИЕ!" error="Некорректный ввод даты. Используйте подсказку" promptTitle="ПОДСКАЗКА" prompt="Введите дату в формате ДД.ММ.ГГГГ, например: 20.12.2012" sqref="N23:P23">
      <formula1>TODAY()</formula1>
    </dataValidation>
    <dataValidation allowBlank="1" showInputMessage="1" showErrorMessage="1" promptTitle="ПОДСКАЗКА" prompt="Введите адрес электронной почты" sqref="F34:L34"/>
    <dataValidation allowBlank="1" showInputMessage="1" showErrorMessage="1" promptTitle="ПОДСКАЗКА" prompt="Введите номер телефона" sqref="C31:E32"/>
    <dataValidation allowBlank="1" showInputMessage="1" showErrorMessage="1" promptTitle="ПОДСКАЗКА" prompt="Введите код населенного пункта для телефонной связи" sqref="N31:O31"/>
    <dataValidation allowBlank="1" showInputMessage="1" showErrorMessage="1" promptTitle="ПОДСКАЗКА" prompt="Введите номер факсимильного аппарата" sqref="I31:K32"/>
    <dataValidation type="whole" operator="greaterThanOrEqual" allowBlank="1" showInputMessage="1" showErrorMessage="1" errorTitle="ВНИМАНИЕ!" error="Введено недопустимое значение" sqref="I8">
      <formula1>0</formula1>
    </dataValidation>
    <dataValidation type="whole" operator="greaterThanOrEqual" showInputMessage="1" showErrorMessage="1" errorTitle="ВНИМАНИЕ!" error="Введено недопустимое значение" promptTitle="ПОДСКАЗКА" prompt="Введите полное число лет стажа" sqref="N20">
      <formula1>0</formula1>
    </dataValidation>
    <dataValidation type="whole" operator="greaterThanOrEqual" allowBlank="1" showInputMessage="1" showErrorMessage="1" errorTitle="ВНИМАНИЕ!" error="Введено недопустимое значение" prompt="Введите целое число" sqref="I22">
      <formula1>0</formula1>
    </dataValidation>
    <dataValidation type="whole" operator="greaterThan" allowBlank="1" showInputMessage="1" showErrorMessage="1" prompt="Введите целое число, например: 1960" sqref="D14 F14:H14">
      <formula1>1900</formula1>
    </dataValidation>
    <dataValidation type="list" allowBlank="1" showInputMessage="1" showErrorMessage="1" prompt="Выберите из списка. В случае отсутствия в списке нужного названия, следуйте нижеследующему указанию_x000a_" sqref="A26:P26">
      <formula1>List1</formula1>
    </dataValidation>
    <dataValidation type="list" allowBlank="1" showInputMessage="1" showErrorMessage="1" errorTitle="ВНИМАНИЕ!" error="Введено недопустимое значение" prompt="Выберите из списка:_x000a_высшее (институт, университет, академия и т.п.);_x000a_среднее профессиональное (техникум, колледж и т.п.);_x000a_начальное профессиональное (ПТУ и т.п.);_x000a_среднее общее (школа и т.п)" sqref="D15:P15">
      <formula1>"высшее,среднее профессиональное,начальное профессиональное,среднее общее"</formula1>
    </dataValidation>
  </dataValidations>
  <printOptions horizontalCentered="1"/>
  <pageMargins left="0.59055118110236227" right="0.59055118110236227" top="0.59055118110236227" bottom="0.59055118110236227" header="0.51181102362204722" footer="0.51181102362204722"/>
  <pageSetup paperSize="9" scale="98" orientation="portrait" blackAndWhite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12"/>
    <pageSetUpPr autoPageBreaks="0" fitToPage="1"/>
  </sheetPr>
  <dimension ref="A1:U96"/>
  <sheetViews>
    <sheetView showGridLines="0" showRowColHeaders="0" showZeros="0" tabSelected="1" zoomScale="125" zoomScaleNormal="145" workbookViewId="0">
      <pane ySplit="5" topLeftCell="A6" activePane="bottomLeft" state="frozen"/>
      <selection pane="bottomLeft" activeCell="C29" sqref="C29"/>
    </sheetView>
  </sheetViews>
  <sheetFormatPr defaultRowHeight="15"/>
  <cols>
    <col min="1" max="1" width="58.7109375" style="42" customWidth="1"/>
    <col min="2" max="5" width="14.28515625" style="42" customWidth="1"/>
    <col min="6" max="6" width="14.28515625" style="376" hidden="1" customWidth="1"/>
    <col min="7" max="8" width="4.28515625" style="60" hidden="1" customWidth="1"/>
    <col min="9" max="9" width="4.28515625" style="1" hidden="1" customWidth="1"/>
    <col min="10" max="11" width="4.28515625" style="62" hidden="1" customWidth="1"/>
    <col min="12" max="19" width="4.28515625" style="1" hidden="1" customWidth="1"/>
    <col min="20" max="16384" width="9.140625" style="1"/>
  </cols>
  <sheetData>
    <row r="1" spans="1:21" ht="59.25" customHeight="1">
      <c r="A1" s="479" t="s">
        <v>238</v>
      </c>
      <c r="B1" s="479"/>
      <c r="C1" s="479"/>
      <c r="D1" s="479"/>
      <c r="E1" s="479"/>
      <c r="H1" s="77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95"/>
      <c r="U1" s="95"/>
    </row>
    <row r="2" spans="1:21" ht="21" customHeight="1" thickBot="1">
      <c r="A2" s="43"/>
      <c r="B2" s="43"/>
      <c r="C2" s="43"/>
      <c r="D2" s="43"/>
      <c r="E2" s="54" t="s">
        <v>234</v>
      </c>
      <c r="H2" s="77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95"/>
      <c r="U2" s="95"/>
    </row>
    <row r="3" spans="1:21" ht="18" customHeight="1">
      <c r="A3" s="480" t="s">
        <v>414</v>
      </c>
      <c r="B3" s="486" t="s">
        <v>407</v>
      </c>
      <c r="C3" s="489" t="s">
        <v>419</v>
      </c>
      <c r="D3" s="490"/>
      <c r="E3" s="491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290"/>
      <c r="U3" s="95"/>
    </row>
    <row r="4" spans="1:21" ht="30" customHeight="1">
      <c r="A4" s="481"/>
      <c r="B4" s="487"/>
      <c r="C4" s="492" t="s">
        <v>416</v>
      </c>
      <c r="D4" s="493"/>
      <c r="E4" s="494" t="s">
        <v>417</v>
      </c>
      <c r="G4" s="60" t="s">
        <v>569</v>
      </c>
      <c r="H4" s="77" t="s">
        <v>570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290"/>
      <c r="U4" s="95"/>
    </row>
    <row r="5" spans="1:21" ht="34.5" customHeight="1" thickBot="1">
      <c r="A5" s="482"/>
      <c r="B5" s="488"/>
      <c r="C5" s="260" t="s">
        <v>408</v>
      </c>
      <c r="D5" s="261" t="s">
        <v>415</v>
      </c>
      <c r="E5" s="495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290"/>
      <c r="U5" s="95"/>
    </row>
    <row r="6" spans="1:21" ht="34.5" customHeight="1" thickTop="1">
      <c r="A6" s="262" t="s">
        <v>485</v>
      </c>
      <c r="B6" s="283"/>
      <c r="C6" s="399" t="s">
        <v>569</v>
      </c>
      <c r="D6" s="400" t="s">
        <v>570</v>
      </c>
      <c r="E6" s="401" t="s">
        <v>569</v>
      </c>
      <c r="G6" s="374"/>
      <c r="H6" s="61" t="b">
        <v>0</v>
      </c>
      <c r="I6" s="61" t="b">
        <v>0</v>
      </c>
      <c r="J6" s="61" t="b">
        <v>0</v>
      </c>
      <c r="K6" s="61"/>
      <c r="L6" s="106">
        <f>B10+B14+B18+B23+B28+IF(B10+B14+B18+B23+B28=0,0,1)-Титул!C11</f>
        <v>0</v>
      </c>
      <c r="M6" s="106">
        <f>IF(OR(СлужбаОТ!Q6=27,СлужбаОТ!Q6=39,СлужбаОТ!Q6=49,СлужбаОТ!Q6=64),0,IF(СлужбаОТ!Q6=0,0,1))</f>
        <v>1</v>
      </c>
      <c r="N6" s="106">
        <f>IF(СлужбаОТ!Q6=0,0,M6+СлужбаОТ!I8)</f>
        <v>1</v>
      </c>
      <c r="O6" s="106">
        <f>IF(OR(СлужбаОТ!Q6=19,СлужбаОТ!Q6=37),0,B23-N6)</f>
        <v>0</v>
      </c>
      <c r="P6" s="61" t="str">
        <f>C6</f>
        <v>ДА</v>
      </c>
      <c r="Q6" s="61" t="str">
        <f>D6</f>
        <v>НЕТ</v>
      </c>
      <c r="R6" s="61" t="str">
        <f>E6</f>
        <v>ДА</v>
      </c>
      <c r="S6" s="61"/>
      <c r="T6" s="290"/>
      <c r="U6" s="95"/>
    </row>
    <row r="7" spans="1:21" ht="34.5" customHeight="1">
      <c r="A7" s="263" t="s">
        <v>452</v>
      </c>
      <c r="B7" s="402" t="s">
        <v>569</v>
      </c>
      <c r="C7" s="284"/>
      <c r="D7" s="285"/>
      <c r="E7" s="286"/>
      <c r="G7" s="374"/>
      <c r="H7" s="61" t="b">
        <v>0</v>
      </c>
      <c r="I7" s="61"/>
      <c r="J7" s="61"/>
      <c r="K7" s="61" t="str">
        <f>B7</f>
        <v>ДА</v>
      </c>
      <c r="L7" s="106"/>
      <c r="M7" s="106"/>
      <c r="N7" s="106"/>
      <c r="O7" s="106"/>
      <c r="P7" s="61"/>
      <c r="Q7" s="61"/>
      <c r="R7" s="61"/>
      <c r="S7" s="61"/>
      <c r="T7" s="290"/>
      <c r="U7" s="95"/>
    </row>
    <row r="8" spans="1:21" ht="34.5" customHeight="1">
      <c r="A8" s="263" t="s">
        <v>453</v>
      </c>
      <c r="B8" s="402" t="s">
        <v>570</v>
      </c>
      <c r="C8" s="284"/>
      <c r="D8" s="285"/>
      <c r="E8" s="286"/>
      <c r="G8" s="374"/>
      <c r="H8" s="61" t="b">
        <v>0</v>
      </c>
      <c r="I8" s="61"/>
      <c r="J8" s="61"/>
      <c r="K8" s="61" t="str">
        <f>B8</f>
        <v>НЕТ</v>
      </c>
      <c r="L8" s="106"/>
      <c r="M8" s="106">
        <f>C10+C14+C18+C23+C28+(IF(H6=TRUE,1,0))</f>
        <v>60</v>
      </c>
      <c r="N8" s="106"/>
      <c r="O8" s="106"/>
      <c r="P8" s="61"/>
      <c r="Q8" s="61"/>
      <c r="R8" s="61"/>
      <c r="S8" s="61"/>
      <c r="T8" s="290"/>
      <c r="U8" s="95"/>
    </row>
    <row r="9" spans="1:21" ht="34.5" customHeight="1">
      <c r="A9" s="264" t="s">
        <v>454</v>
      </c>
      <c r="B9" s="403" t="s">
        <v>570</v>
      </c>
      <c r="C9" s="287"/>
      <c r="D9" s="288"/>
      <c r="E9" s="289"/>
      <c r="G9" s="374"/>
      <c r="H9" s="61" t="b">
        <v>0</v>
      </c>
      <c r="I9" s="61"/>
      <c r="J9" s="61"/>
      <c r="K9" s="61" t="str">
        <f>B9</f>
        <v>НЕТ</v>
      </c>
      <c r="L9" s="106"/>
      <c r="M9" s="106"/>
      <c r="N9" s="106"/>
      <c r="O9" s="106"/>
      <c r="P9" s="61"/>
      <c r="Q9" s="61"/>
      <c r="R9" s="61"/>
      <c r="S9" s="61"/>
      <c r="T9" s="290"/>
      <c r="U9" s="95"/>
    </row>
    <row r="10" spans="1:21" ht="34.5" customHeight="1">
      <c r="A10" s="185" t="s">
        <v>409</v>
      </c>
      <c r="B10" s="200">
        <v>1</v>
      </c>
      <c r="C10" s="245">
        <v>1</v>
      </c>
      <c r="D10" s="230"/>
      <c r="E10" s="215"/>
      <c r="G10" s="375" t="b">
        <f>OR(B10+IF(B10+B14+B18+B23+B28=0,0,1)&gt;Титул!$C$11,B10+B14+B18+B23+B28+IF(B10+B14+B18+B23+B28=0,0,1)&gt;Титул!$C$11)</f>
        <v>0</v>
      </c>
      <c r="H10" s="60" t="b">
        <f>OR(B11&gt;B10,B12&gt;B10,B13&gt;B10)</f>
        <v>0</v>
      </c>
      <c r="I10" s="63" t="b">
        <f>OR(C10&gt;B10,D10&gt;B10,E10&gt;B10)</f>
        <v>0</v>
      </c>
      <c r="J10" s="63" t="b">
        <f>OR(C10+IF(C10+C14+C18+C23+C28=0,0,1)&gt;Титул!$C$11,C10+C14+C18+C23+C28+(IF(H6=TRUE,1,0))&gt;Титул!$C$11)</f>
        <v>0</v>
      </c>
      <c r="K10" s="63" t="b">
        <f>OR(C11&gt;C10,C12&gt;C10,C13&gt;C10)</f>
        <v>0</v>
      </c>
      <c r="L10" s="63" t="b">
        <f>C10&gt;B10</f>
        <v>0</v>
      </c>
      <c r="M10" s="60" t="b">
        <f>OR(D10+IF(D10+D14+D18+D23+D28=0,0,1)&gt;Титул!$C$11,D10+D14+D18+D23+D28+(IF(I6=TRUE,1,0))&gt;Титул!$C$11)</f>
        <v>0</v>
      </c>
      <c r="N10" s="60" t="b">
        <f>OR(D11&gt;D10,D12&gt;D10,D13&gt;D10)</f>
        <v>0</v>
      </c>
      <c r="O10" s="63" t="b">
        <f>D10&gt;B10</f>
        <v>0</v>
      </c>
      <c r="P10" s="63" t="b">
        <f>OR(E10+IF(E10+E14+E18+E23+E28=0,0,1)&gt;Титул!$C$11,E10+E14+E18+E23+E28+(IF(J6=TRUE,1,0))&gt;Титул!$C$11)</f>
        <v>0</v>
      </c>
      <c r="Q10" s="63" t="b">
        <f>OR(E11&gt;E10,E12&gt;E10,E13&gt;E10)</f>
        <v>0</v>
      </c>
      <c r="R10" s="63" t="b">
        <f>E10&gt;B10</f>
        <v>0</v>
      </c>
      <c r="S10" s="63"/>
      <c r="T10" s="290"/>
      <c r="U10" s="95"/>
    </row>
    <row r="11" spans="1:21" ht="34.5" customHeight="1">
      <c r="A11" s="185" t="s">
        <v>461</v>
      </c>
      <c r="B11" s="200">
        <v>1</v>
      </c>
      <c r="C11" s="245">
        <v>1</v>
      </c>
      <c r="D11" s="230"/>
      <c r="E11" s="215"/>
      <c r="G11" s="375" t="b">
        <f>B11+IF(B10+B14+B18+B23+B28=0,0,1)&gt;Титул!$C$11</f>
        <v>0</v>
      </c>
      <c r="H11" s="60" t="b">
        <f>B11&gt;$B$10</f>
        <v>0</v>
      </c>
      <c r="I11" s="63" t="b">
        <f t="shared" ref="I11:I31" si="0">OR(C11&gt;B11,D11&gt;B11,E11&gt;B11)</f>
        <v>0</v>
      </c>
      <c r="J11" s="63" t="b">
        <f>C11+IF(C10+C14+C18+C23+C28=0,0,1)&gt;Титул!$C$11</f>
        <v>0</v>
      </c>
      <c r="K11" s="63" t="b">
        <f>C11&gt;$C$10</f>
        <v>0</v>
      </c>
      <c r="L11" s="63" t="b">
        <f t="shared" ref="L11:L31" si="1">C11&gt;B11</f>
        <v>0</v>
      </c>
      <c r="M11" s="60" t="b">
        <f>D11+IF(D10+D14+D18+D23+D28=0,0,1)&gt;Титул!$C$11</f>
        <v>0</v>
      </c>
      <c r="N11" s="60" t="b">
        <f>D11&gt;$D$10</f>
        <v>0</v>
      </c>
      <c r="O11" s="63" t="b">
        <f t="shared" ref="O11:O31" si="2">D11&gt;B11</f>
        <v>0</v>
      </c>
      <c r="P11" s="63" t="b">
        <f>E11+IF(E10+E14+E18+E23+E28=0,0,1)&gt;Титул!$C$11</f>
        <v>0</v>
      </c>
      <c r="Q11" s="63" t="b">
        <f>E11&gt;$E$10</f>
        <v>0</v>
      </c>
      <c r="R11" s="63" t="b">
        <f t="shared" ref="R11:R31" si="3">E11&gt;B11</f>
        <v>0</v>
      </c>
      <c r="S11" s="63">
        <f t="shared" ref="S11:S31" si="4">MAX(C11:E11)</f>
        <v>1</v>
      </c>
      <c r="T11" s="290"/>
      <c r="U11" s="95"/>
    </row>
    <row r="12" spans="1:21" ht="34.5" customHeight="1">
      <c r="A12" s="186" t="s">
        <v>460</v>
      </c>
      <c r="B12" s="201"/>
      <c r="C12" s="246"/>
      <c r="D12" s="231"/>
      <c r="E12" s="216"/>
      <c r="G12" s="375" t="b">
        <f>B12+IF(B10+B14+B18+B23+B28=0,0,1)&gt;Титул!$C$11</f>
        <v>0</v>
      </c>
      <c r="H12" s="60" t="b">
        <f>B12&gt;$B$10</f>
        <v>0</v>
      </c>
      <c r="I12" s="63" t="b">
        <f t="shared" si="0"/>
        <v>0</v>
      </c>
      <c r="J12" s="63" t="b">
        <f>C12+IF(C10+C14+C18+C23+C28=0,0,1)&gt;Титул!$C$11</f>
        <v>0</v>
      </c>
      <c r="K12" s="63" t="b">
        <f>C12&gt;$C$10</f>
        <v>0</v>
      </c>
      <c r="L12" s="63" t="b">
        <f t="shared" si="1"/>
        <v>0</v>
      </c>
      <c r="M12" s="60" t="b">
        <f>D12+IF(D10+D14+D18+D23+D28=0,0,1)&gt;Титул!$C$11</f>
        <v>0</v>
      </c>
      <c r="N12" s="60" t="b">
        <f>D12&gt;$D$10</f>
        <v>0</v>
      </c>
      <c r="O12" s="63" t="b">
        <f t="shared" si="2"/>
        <v>0</v>
      </c>
      <c r="P12" s="63" t="b">
        <f>E12+IF(E10+E14+E18+E23+E28=0,0,1)&gt;Титул!$C$11</f>
        <v>0</v>
      </c>
      <c r="Q12" s="63" t="b">
        <f>E12&gt;$E$10</f>
        <v>0</v>
      </c>
      <c r="R12" s="63" t="b">
        <f t="shared" si="3"/>
        <v>0</v>
      </c>
      <c r="S12" s="63">
        <f t="shared" si="4"/>
        <v>0</v>
      </c>
      <c r="T12" s="290"/>
      <c r="U12" s="95"/>
    </row>
    <row r="13" spans="1:21" ht="34.5" customHeight="1">
      <c r="A13" s="187" t="s">
        <v>462</v>
      </c>
      <c r="B13" s="202"/>
      <c r="C13" s="247"/>
      <c r="D13" s="232"/>
      <c r="E13" s="217"/>
      <c r="G13" s="375" t="b">
        <f>B13+IF(B10+B14+B18+B23+B28=0,0,1)&gt;Титул!$C$11</f>
        <v>0</v>
      </c>
      <c r="H13" s="60" t="b">
        <f>B13&gt;$B$10</f>
        <v>0</v>
      </c>
      <c r="I13" s="63" t="b">
        <f t="shared" si="0"/>
        <v>0</v>
      </c>
      <c r="J13" s="63" t="b">
        <f>C13+IF(C10+C14+C18+C23+C28=0,0,1)&gt;Титул!$C$11</f>
        <v>0</v>
      </c>
      <c r="K13" s="63" t="b">
        <f>C13&gt;$C$10</f>
        <v>0</v>
      </c>
      <c r="L13" s="63" t="b">
        <f t="shared" si="1"/>
        <v>0</v>
      </c>
      <c r="M13" s="60" t="b">
        <f>D13+IF(D10+D14+D18+D23+D28=0,0,1)&gt;Титул!$C$11</f>
        <v>0</v>
      </c>
      <c r="N13" s="60" t="b">
        <f>D13&gt;$D$10</f>
        <v>0</v>
      </c>
      <c r="O13" s="63" t="b">
        <f t="shared" si="2"/>
        <v>0</v>
      </c>
      <c r="P13" s="63" t="b">
        <f>E13+IF(E10+E14+E18+E23+E28=0,0,1)&gt;Титул!$C$11</f>
        <v>0</v>
      </c>
      <c r="Q13" s="63" t="b">
        <f>E13&gt;$E$10</f>
        <v>0</v>
      </c>
      <c r="R13" s="63" t="b">
        <f t="shared" si="3"/>
        <v>0</v>
      </c>
      <c r="S13" s="63">
        <f t="shared" si="4"/>
        <v>0</v>
      </c>
      <c r="T13" s="290"/>
      <c r="U13" s="95"/>
    </row>
    <row r="14" spans="1:21" ht="34.5" customHeight="1">
      <c r="A14" s="188" t="s">
        <v>410</v>
      </c>
      <c r="B14" s="203"/>
      <c r="C14" s="248"/>
      <c r="D14" s="233"/>
      <c r="E14" s="218"/>
      <c r="G14" s="375" t="b">
        <f>OR(B14+IF(B10+B14+B18+B23+B28=0,0,1)&gt;Титул!$C$11,B10+B14+B18+B23+B28+IF(B10+B14+B18+B23+B28=0,0,1)&gt;Титул!$C$11)</f>
        <v>0</v>
      </c>
      <c r="H14" s="60" t="b">
        <f>OR(B15&gt;B14,B16&gt;B14,B17&gt;B14)</f>
        <v>0</v>
      </c>
      <c r="I14" s="63" t="b">
        <f t="shared" si="0"/>
        <v>0</v>
      </c>
      <c r="J14" s="63" t="b">
        <f>OR(C14+IF(C10+C14+C18+C23+C28=0,0,1)&gt;Титул!$C$11,C10+C14+C18+C23+C28+(IF(H6=TRUE,1,0))&gt;Титул!$C$11)</f>
        <v>0</v>
      </c>
      <c r="K14" s="63" t="b">
        <f>OR(C15&gt;C14,C16&gt;C14,C17&gt;C14)</f>
        <v>0</v>
      </c>
      <c r="L14" s="63" t="b">
        <f t="shared" si="1"/>
        <v>0</v>
      </c>
      <c r="M14" s="60" t="b">
        <f>OR(D14+IF(D10+D14+D18+D23+D28=0,0,1)&gt;Титул!$C$11,D10+D14+D18+D23+D28+(IF(I6=TRUE,1,0))&gt;Титул!$C$11)</f>
        <v>0</v>
      </c>
      <c r="N14" s="60" t="b">
        <f>OR(D15&gt;D14,D16&gt;D14,D17&gt;D14)</f>
        <v>0</v>
      </c>
      <c r="O14" s="63" t="b">
        <f t="shared" si="2"/>
        <v>0</v>
      </c>
      <c r="P14" s="63" t="b">
        <f>OR(E14+IF(E10+E14+E18+E23+E28=0,0,1)&gt;Титул!$C$11,E10+E14+E18+E23+E28+(IF(J6=TRUE,1,0))&gt;Титул!$C$11)</f>
        <v>0</v>
      </c>
      <c r="Q14" s="63" t="b">
        <f>OR(E15&gt;E14,E16&gt;E14,E17&gt;E14)</f>
        <v>0</v>
      </c>
      <c r="R14" s="63" t="b">
        <f t="shared" si="3"/>
        <v>0</v>
      </c>
      <c r="S14" s="63"/>
      <c r="T14" s="290"/>
      <c r="U14" s="95"/>
    </row>
    <row r="15" spans="1:21" ht="34.5" customHeight="1">
      <c r="A15" s="189" t="s">
        <v>461</v>
      </c>
      <c r="B15" s="204"/>
      <c r="C15" s="249"/>
      <c r="D15" s="234"/>
      <c r="E15" s="219"/>
      <c r="G15" s="375" t="b">
        <f>B15+IF(B10+B14+B18+B23+B28=0,0,1)&gt;Титул!$C$11</f>
        <v>0</v>
      </c>
      <c r="H15" s="60" t="b">
        <f>B15&gt;$B$14</f>
        <v>0</v>
      </c>
      <c r="I15" s="63" t="b">
        <f t="shared" si="0"/>
        <v>0</v>
      </c>
      <c r="J15" s="63" t="b">
        <f>C15+IF(C10+C14+C18+C23+C28=0,0,1)&gt;Титул!$C$11</f>
        <v>0</v>
      </c>
      <c r="K15" s="63" t="b">
        <f>C15&gt;$C$14</f>
        <v>0</v>
      </c>
      <c r="L15" s="63" t="b">
        <f t="shared" si="1"/>
        <v>0</v>
      </c>
      <c r="M15" s="60" t="b">
        <f>D15+IF(D10+D14+D18+D23+D28=0,0,1)&gt;Титул!$C$11</f>
        <v>0</v>
      </c>
      <c r="N15" s="60" t="b">
        <f>D15&gt;$D$14</f>
        <v>0</v>
      </c>
      <c r="O15" s="63" t="b">
        <f t="shared" si="2"/>
        <v>0</v>
      </c>
      <c r="P15" s="63" t="b">
        <f>E15+IF(E10+E14+E18+E23+E28=0,0,1)&gt;Титул!$C$11</f>
        <v>0</v>
      </c>
      <c r="Q15" s="63" t="b">
        <f>E15&gt;$E$14</f>
        <v>0</v>
      </c>
      <c r="R15" s="63" t="b">
        <f t="shared" si="3"/>
        <v>0</v>
      </c>
      <c r="S15" s="63">
        <f t="shared" si="4"/>
        <v>0</v>
      </c>
      <c r="T15" s="290"/>
      <c r="U15" s="95"/>
    </row>
    <row r="16" spans="1:21" ht="34.5" customHeight="1">
      <c r="A16" s="189" t="s">
        <v>460</v>
      </c>
      <c r="B16" s="204"/>
      <c r="C16" s="249"/>
      <c r="D16" s="234"/>
      <c r="E16" s="219"/>
      <c r="G16" s="375" t="b">
        <f>B16+IF(B10+B14+B18+B23+B28=0,0,1)&gt;Титул!$C$11</f>
        <v>0</v>
      </c>
      <c r="H16" s="60" t="b">
        <f>B16&gt;$B$14</f>
        <v>0</v>
      </c>
      <c r="I16" s="63" t="b">
        <f t="shared" si="0"/>
        <v>0</v>
      </c>
      <c r="J16" s="63" t="b">
        <f>C16+IF(C10+C14+C18+C23+C28=0,0,1)&gt;Титул!$C$11</f>
        <v>0</v>
      </c>
      <c r="K16" s="63" t="b">
        <f>C16&gt;$C$14</f>
        <v>0</v>
      </c>
      <c r="L16" s="63" t="b">
        <f t="shared" si="1"/>
        <v>0</v>
      </c>
      <c r="M16" s="60" t="b">
        <f>D16+IF(D10+D14+D18+D23+D28=0,0,1)&gt;Титул!$C$11</f>
        <v>0</v>
      </c>
      <c r="N16" s="60" t="b">
        <f>D16&gt;$D$14</f>
        <v>0</v>
      </c>
      <c r="O16" s="63" t="b">
        <f t="shared" si="2"/>
        <v>0</v>
      </c>
      <c r="P16" s="63" t="b">
        <f>E16+IF(E10+E14+E18+E23+E28=0,0,1)&gt;Титул!$C$11</f>
        <v>0</v>
      </c>
      <c r="Q16" s="63" t="b">
        <f>E16&gt;$E$14</f>
        <v>0</v>
      </c>
      <c r="R16" s="63" t="b">
        <f t="shared" si="3"/>
        <v>0</v>
      </c>
      <c r="S16" s="63">
        <f t="shared" si="4"/>
        <v>0</v>
      </c>
      <c r="T16" s="290"/>
      <c r="U16" s="95"/>
    </row>
    <row r="17" spans="1:21" ht="34.5" customHeight="1">
      <c r="A17" s="190" t="s">
        <v>462</v>
      </c>
      <c r="B17" s="205"/>
      <c r="C17" s="250"/>
      <c r="D17" s="235"/>
      <c r="E17" s="220"/>
      <c r="G17" s="375" t="b">
        <f>B17+IF(B10+B14+B18+B23+B28=0,0,1)&gt;Титул!$C$11</f>
        <v>0</v>
      </c>
      <c r="H17" s="60" t="b">
        <f>B17&gt;$B$14</f>
        <v>0</v>
      </c>
      <c r="I17" s="63" t="b">
        <f t="shared" si="0"/>
        <v>0</v>
      </c>
      <c r="J17" s="63" t="b">
        <f>C17+IF(C10+C14+C18+C23+C28=0,0,1)&gt;Титул!$C$11</f>
        <v>0</v>
      </c>
      <c r="K17" s="63" t="b">
        <f>C17&gt;$C$14</f>
        <v>0</v>
      </c>
      <c r="L17" s="63" t="b">
        <f t="shared" si="1"/>
        <v>0</v>
      </c>
      <c r="M17" s="60" t="b">
        <f>D17+IF(D10+D14+D18+D23+D28=0,0,1)&gt;Титул!$C$11</f>
        <v>0</v>
      </c>
      <c r="N17" s="60" t="b">
        <f>D17&gt;$D$14</f>
        <v>0</v>
      </c>
      <c r="O17" s="63" t="b">
        <f t="shared" si="2"/>
        <v>0</v>
      </c>
      <c r="P17" s="63" t="b">
        <f>E17+IF(E10+E14+E18+E23+E28=0,0,1)&gt;Титул!$C$11</f>
        <v>0</v>
      </c>
      <c r="Q17" s="63" t="b">
        <f>E17&gt;$E$14</f>
        <v>0</v>
      </c>
      <c r="R17" s="63" t="b">
        <f t="shared" si="3"/>
        <v>0</v>
      </c>
      <c r="S17" s="63">
        <f t="shared" si="4"/>
        <v>0</v>
      </c>
      <c r="T17" s="290"/>
      <c r="U17" s="95"/>
    </row>
    <row r="18" spans="1:21" ht="34.5" customHeight="1">
      <c r="A18" s="191" t="s">
        <v>411</v>
      </c>
      <c r="B18" s="206"/>
      <c r="C18" s="251"/>
      <c r="D18" s="236"/>
      <c r="E18" s="221"/>
      <c r="G18" s="375" t="b">
        <f>OR(B18+IF(B10+B14+B18+B23+B28=0,0,1)&gt;Титул!$C$11,B10+B14+B18+B23+B28+IF(B10+B14+B18+B23+B28=0,0,1)&gt;Титул!$C$11)</f>
        <v>0</v>
      </c>
      <c r="H18" s="60" t="b">
        <f>OR(B19&gt;B18,B20&gt;B18,B21&gt;B18,B22&gt;B18)</f>
        <v>0</v>
      </c>
      <c r="I18" s="63" t="b">
        <f t="shared" si="0"/>
        <v>0</v>
      </c>
      <c r="J18" s="63" t="b">
        <f>OR(C18+IF(C10+C14+C18+C23+C28=0,0,1)&gt;Титул!$C$11,C10+C14+C18+C23+C28+(IF(H6=TRUE,1,0))&gt;Титул!$C$11)</f>
        <v>0</v>
      </c>
      <c r="K18" s="63" t="b">
        <f>OR(C19&gt;C18,C20&gt;C18,C21&gt;C18,C22&gt;C18)</f>
        <v>0</v>
      </c>
      <c r="L18" s="63" t="b">
        <f t="shared" si="1"/>
        <v>0</v>
      </c>
      <c r="M18" s="60" t="b">
        <f>OR(D18+IF(D10+D14+D18+D23+D28=0,0,1)&gt;Титул!$C$11,D10+D14+D18+D23+D28+(IF(I6=TRUE,1,0))&gt;Титул!$C$11)</f>
        <v>0</v>
      </c>
      <c r="N18" s="60" t="b">
        <f>OR(D19&gt;D18,D20&gt;D18,D21&gt;D18,D22&gt;D18)</f>
        <v>0</v>
      </c>
      <c r="O18" s="63" t="b">
        <f t="shared" si="2"/>
        <v>0</v>
      </c>
      <c r="P18" s="63" t="b">
        <f>OR(E18+IF(E10+E14+E18+E23+E28=0,0,1)&gt;Титул!$C$11,E10+E14+E18+E23+E28+(IF(J6=TRUE,1,0))&gt;Титул!$C$11)</f>
        <v>0</v>
      </c>
      <c r="Q18" s="63" t="b">
        <f>OR(E19&gt;E18,E20&gt;E18,E21&gt;E18,E22&gt;E18)</f>
        <v>0</v>
      </c>
      <c r="R18" s="63" t="b">
        <f t="shared" si="3"/>
        <v>0</v>
      </c>
      <c r="S18" s="63">
        <f t="shared" si="4"/>
        <v>0</v>
      </c>
      <c r="T18" s="290"/>
      <c r="U18" s="95"/>
    </row>
    <row r="19" spans="1:21" ht="34.5" customHeight="1">
      <c r="A19" s="192" t="s">
        <v>463</v>
      </c>
      <c r="B19" s="207"/>
      <c r="C19" s="252"/>
      <c r="D19" s="237"/>
      <c r="E19" s="222"/>
      <c r="G19" s="375" t="b">
        <f>B19+IF(B10+B14+B18+B23+B28=0,0,1)&gt;Титул!$C$11</f>
        <v>0</v>
      </c>
      <c r="H19" s="60" t="b">
        <f>B19&gt;$B$18</f>
        <v>0</v>
      </c>
      <c r="I19" s="63" t="b">
        <f t="shared" si="0"/>
        <v>0</v>
      </c>
      <c r="J19" s="63" t="b">
        <f>C19+IF(C10+C14+C18+C23+C28=0,0,1)&gt;Титул!$C$11</f>
        <v>0</v>
      </c>
      <c r="K19" s="63" t="b">
        <f>C19&gt;$C$18</f>
        <v>0</v>
      </c>
      <c r="L19" s="63" t="b">
        <f t="shared" si="1"/>
        <v>0</v>
      </c>
      <c r="M19" s="60" t="b">
        <f>D19+IF(D10+D14+D18+D23+D28=0,0,1)&gt;Титул!$C$11</f>
        <v>0</v>
      </c>
      <c r="N19" s="60" t="b">
        <f>D19&gt;$D$18</f>
        <v>0</v>
      </c>
      <c r="O19" s="63" t="b">
        <f t="shared" si="2"/>
        <v>0</v>
      </c>
      <c r="P19" s="63" t="b">
        <f>E19+IF(E10+E14+E18+E23+E28=0,0,1)&gt;Титул!$C$11</f>
        <v>0</v>
      </c>
      <c r="Q19" s="63" t="b">
        <f>E19&gt;$E$18</f>
        <v>0</v>
      </c>
      <c r="R19" s="63" t="b">
        <f t="shared" si="3"/>
        <v>0</v>
      </c>
      <c r="S19" s="63">
        <f t="shared" si="4"/>
        <v>0</v>
      </c>
      <c r="T19" s="290"/>
      <c r="U19" s="95"/>
    </row>
    <row r="20" spans="1:21" ht="34.5" customHeight="1">
      <c r="A20" s="192" t="s">
        <v>22</v>
      </c>
      <c r="B20" s="207"/>
      <c r="C20" s="252"/>
      <c r="D20" s="237"/>
      <c r="E20" s="222"/>
      <c r="G20" s="375" t="b">
        <f>B20+IF(B10+B14+B18+B23+B28=0,0,1)&gt;Титул!$C$11</f>
        <v>0</v>
      </c>
      <c r="H20" s="60" t="b">
        <f>B20&gt;$B$18</f>
        <v>0</v>
      </c>
      <c r="I20" s="63" t="b">
        <f t="shared" si="0"/>
        <v>0</v>
      </c>
      <c r="J20" s="63" t="b">
        <f>C20+IF(C10+C14+C18+C23+C28=0,0,1)&gt;Титул!$C$11</f>
        <v>0</v>
      </c>
      <c r="K20" s="63" t="b">
        <f>C20&gt;$C$18</f>
        <v>0</v>
      </c>
      <c r="L20" s="63" t="b">
        <f t="shared" si="1"/>
        <v>0</v>
      </c>
      <c r="M20" s="60" t="b">
        <f>D20+IF(D10+D14+D18+D23+D28=0,0,1)&gt;Титул!$C$11</f>
        <v>0</v>
      </c>
      <c r="N20" s="60" t="b">
        <f>D20&gt;$D$18</f>
        <v>0</v>
      </c>
      <c r="O20" s="63" t="b">
        <f t="shared" si="2"/>
        <v>0</v>
      </c>
      <c r="P20" s="63" t="b">
        <f>E20+IF(E10+E14+E18+E23+E28=0,0,1)&gt;Титул!$C$11</f>
        <v>0</v>
      </c>
      <c r="Q20" s="63" t="b">
        <f>E20&gt;$E$18</f>
        <v>0</v>
      </c>
      <c r="R20" s="63" t="b">
        <f t="shared" si="3"/>
        <v>0</v>
      </c>
      <c r="S20" s="63">
        <f t="shared" si="4"/>
        <v>0</v>
      </c>
      <c r="T20" s="290"/>
      <c r="U20" s="95"/>
    </row>
    <row r="21" spans="1:21" ht="34.5" customHeight="1">
      <c r="A21" s="192" t="s">
        <v>451</v>
      </c>
      <c r="B21" s="207"/>
      <c r="C21" s="252"/>
      <c r="D21" s="237"/>
      <c r="E21" s="222"/>
      <c r="G21" s="375" t="b">
        <f>B21+IF(B10+B14+B18+B23+B28=0,0,1)&gt;Титул!$C$11</f>
        <v>0</v>
      </c>
      <c r="H21" s="60" t="b">
        <f>B21&gt;$B$18</f>
        <v>0</v>
      </c>
      <c r="I21" s="63" t="b">
        <f t="shared" si="0"/>
        <v>0</v>
      </c>
      <c r="J21" s="63" t="b">
        <f>C21+IF(C10+C14+C18+C23+C28=0,0,1)&gt;Титул!$C$11</f>
        <v>0</v>
      </c>
      <c r="K21" s="63" t="b">
        <f>C21&gt;$C$18</f>
        <v>0</v>
      </c>
      <c r="L21" s="63" t="b">
        <f t="shared" si="1"/>
        <v>0</v>
      </c>
      <c r="M21" s="60" t="b">
        <f>D21+IF(D10+D14+D18+D23+D28=0,0,1)&gt;Титул!$C$11</f>
        <v>0</v>
      </c>
      <c r="N21" s="60" t="b">
        <f>D21&gt;$D$18</f>
        <v>0</v>
      </c>
      <c r="O21" s="63" t="b">
        <f t="shared" si="2"/>
        <v>0</v>
      </c>
      <c r="P21" s="63" t="b">
        <f>E21+IF(E10+E14+E18+E23+E28=0,0,1)&gt;Титул!$C$11</f>
        <v>0</v>
      </c>
      <c r="Q21" s="63" t="b">
        <f>E21&gt;$E$18</f>
        <v>0</v>
      </c>
      <c r="R21" s="63" t="b">
        <f t="shared" si="3"/>
        <v>0</v>
      </c>
      <c r="S21" s="63">
        <f t="shared" si="4"/>
        <v>0</v>
      </c>
      <c r="T21" s="290"/>
      <c r="U21" s="95"/>
    </row>
    <row r="22" spans="1:21" ht="34.5" customHeight="1">
      <c r="A22" s="193" t="s">
        <v>64</v>
      </c>
      <c r="B22" s="208"/>
      <c r="C22" s="253"/>
      <c r="D22" s="238"/>
      <c r="E22" s="223"/>
      <c r="G22" s="375" t="b">
        <f>B22+IF(B10+B14+B18+B23+B28=0,0,1)&gt;Титул!$C$11</f>
        <v>0</v>
      </c>
      <c r="H22" s="60" t="b">
        <f>B22&gt;$B$18</f>
        <v>0</v>
      </c>
      <c r="I22" s="63" t="b">
        <f t="shared" si="0"/>
        <v>0</v>
      </c>
      <c r="J22" s="63" t="b">
        <f>C22+IF(C10+C14+C18+C23+C28=0,0,1)&gt;Титул!$C$11</f>
        <v>0</v>
      </c>
      <c r="K22" s="63" t="b">
        <f>C22&gt;$C$18</f>
        <v>0</v>
      </c>
      <c r="L22" s="63" t="b">
        <f t="shared" si="1"/>
        <v>0</v>
      </c>
      <c r="M22" s="60" t="b">
        <f>D22+IF(D10+D14+D18+D23+D28=0,0,1)&gt;Титул!$C$11</f>
        <v>0</v>
      </c>
      <c r="N22" s="60" t="b">
        <f>D22&gt;$D$18</f>
        <v>0</v>
      </c>
      <c r="O22" s="63" t="b">
        <f t="shared" si="2"/>
        <v>0</v>
      </c>
      <c r="P22" s="63" t="b">
        <f>E22+IF(E10+E14+E18+E23+E28=0,0,1)&gt;Титул!$C$11</f>
        <v>0</v>
      </c>
      <c r="Q22" s="63" t="b">
        <f>E22&gt;$E$18</f>
        <v>0</v>
      </c>
      <c r="R22" s="63" t="b">
        <f t="shared" si="3"/>
        <v>0</v>
      </c>
      <c r="S22" s="63">
        <f t="shared" si="4"/>
        <v>0</v>
      </c>
      <c r="T22" s="290"/>
      <c r="U22" s="95"/>
    </row>
    <row r="23" spans="1:21" ht="34.5" customHeight="1">
      <c r="A23" s="194" t="s">
        <v>412</v>
      </c>
      <c r="B23" s="209"/>
      <c r="C23" s="254"/>
      <c r="D23" s="239"/>
      <c r="E23" s="224"/>
      <c r="G23" s="375" t="b">
        <f>OR(B23+IF(B10+B14+B18+B23+B28=0,0,1)&gt;Титул!$C$11,B10+B14+B18+B23+B28+IF(B10+B14+B18+B23+B28=0,0,1)&gt;Титул!$C$11)</f>
        <v>0</v>
      </c>
      <c r="H23" s="60" t="b">
        <f>OR(B24&gt;B23,B25&gt;B23,B26&gt;B23,B27&gt;B23)</f>
        <v>0</v>
      </c>
      <c r="I23" s="63" t="b">
        <f>IF(OR(СлужбаОТ!Q6=19,СлужбаОТ!Q6=37),OR(C23&gt;B23,D23&gt;B23,E23&gt;B23,B23&lt;&gt;СлужбаОТ!I8),FALSE)</f>
        <v>0</v>
      </c>
      <c r="J23" s="63" t="b">
        <f>OR(C23+IF(C10+C14+C18+C23+C28=0,0,1)&gt;Титул!$C$11,C10+C14+C18+C23+C28+(IF(H6=TRUE,1,0))&gt;Титул!$C$11)</f>
        <v>0</v>
      </c>
      <c r="K23" s="63" t="b">
        <f>OR(C24&gt;C23,C25&gt;C23,C26&gt;C23,C27&gt;C23)</f>
        <v>0</v>
      </c>
      <c r="L23" s="63" t="b">
        <f t="shared" si="1"/>
        <v>0</v>
      </c>
      <c r="M23" s="60" t="b">
        <f>OR(D23+IF(D10+D14+D18+D23+D28=0,0,1)&gt;Титул!$C$11,D10+D14+D18+D23+D28+(IF(I6=TRUE,1,0))&gt;Титул!$C$11)</f>
        <v>0</v>
      </c>
      <c r="N23" s="60" t="b">
        <f>OR(D24&gt;D23,D25&gt;D23,D26&gt;D23,D27&gt;D23)</f>
        <v>0</v>
      </c>
      <c r="O23" s="63" t="b">
        <f t="shared" si="2"/>
        <v>0</v>
      </c>
      <c r="P23" s="63" t="b">
        <f>OR(E23+IF(E10+E14+E18+E23+E28=0,0,1)&gt;Титул!$C$11,E10+E14+E18+E23+E28+(IF(J6=TRUE,1,0))&gt;Титул!$C$11)</f>
        <v>0</v>
      </c>
      <c r="Q23" s="63" t="b">
        <f>OR(E24&gt;E23,E25&gt;E23,E26&gt;E23,E27&gt;E23)</f>
        <v>0</v>
      </c>
      <c r="R23" s="63" t="b">
        <f t="shared" si="3"/>
        <v>0</v>
      </c>
      <c r="S23" s="63">
        <f>СлужбаОТ!Q6</f>
        <v>37</v>
      </c>
      <c r="T23" s="290"/>
      <c r="U23" s="95"/>
    </row>
    <row r="24" spans="1:21" ht="34.5" customHeight="1">
      <c r="A24" s="195" t="s">
        <v>463</v>
      </c>
      <c r="B24" s="210"/>
      <c r="C24" s="255"/>
      <c r="D24" s="240"/>
      <c r="E24" s="225"/>
      <c r="G24" s="375" t="b">
        <f>B24+IF(B10+B14+B18+B23+B28=0,0,1)&gt;Титул!$C$11</f>
        <v>0</v>
      </c>
      <c r="H24" s="60" t="b">
        <f>B24&gt;$B$23</f>
        <v>0</v>
      </c>
      <c r="I24" s="63" t="b">
        <f t="shared" si="0"/>
        <v>0</v>
      </c>
      <c r="J24" s="63" t="b">
        <f>C24+IF(C10+C14+C18+C23+C28=0,0,1)&gt;Титул!$C$11</f>
        <v>0</v>
      </c>
      <c r="K24" s="63" t="b">
        <f>C24&gt;$C$23</f>
        <v>0</v>
      </c>
      <c r="L24" s="63" t="b">
        <f t="shared" si="1"/>
        <v>0</v>
      </c>
      <c r="M24" s="60" t="b">
        <f>D24+IF(D10+D14+D18+D23+D28=0,0,1)&gt;Титул!$C$11</f>
        <v>0</v>
      </c>
      <c r="N24" s="60" t="b">
        <f>D24&gt;$D$23</f>
        <v>0</v>
      </c>
      <c r="O24" s="63" t="b">
        <f t="shared" si="2"/>
        <v>0</v>
      </c>
      <c r="P24" s="63" t="b">
        <f>E24+IF(E10+E14+E18+E23+E28=0,0,1)&gt;Титул!$C$11</f>
        <v>0</v>
      </c>
      <c r="Q24" s="63" t="b">
        <f>E24&gt;$E$23</f>
        <v>0</v>
      </c>
      <c r="R24" s="63" t="b">
        <f t="shared" si="3"/>
        <v>0</v>
      </c>
      <c r="S24" s="63">
        <f t="shared" si="4"/>
        <v>0</v>
      </c>
      <c r="T24" s="290"/>
      <c r="U24" s="95"/>
    </row>
    <row r="25" spans="1:21" ht="34.5" customHeight="1">
      <c r="A25" s="195" t="s">
        <v>22</v>
      </c>
      <c r="B25" s="210"/>
      <c r="C25" s="255"/>
      <c r="D25" s="240"/>
      <c r="E25" s="225"/>
      <c r="G25" s="375" t="b">
        <f>B25+IF(B10+B14+B18+B23+B28=0,0,1)&gt;Титул!$C$11</f>
        <v>0</v>
      </c>
      <c r="H25" s="60" t="b">
        <f>B25&gt;$B$23</f>
        <v>0</v>
      </c>
      <c r="I25" s="63" t="b">
        <f t="shared" si="0"/>
        <v>0</v>
      </c>
      <c r="J25" s="63" t="b">
        <f>C25+IF(C10+C14+C18+C23+C28=0,0,1)&gt;Титул!$C$11</f>
        <v>0</v>
      </c>
      <c r="K25" s="63" t="b">
        <f>C25&gt;$C$23</f>
        <v>0</v>
      </c>
      <c r="L25" s="63" t="b">
        <f t="shared" si="1"/>
        <v>0</v>
      </c>
      <c r="M25" s="60" t="b">
        <f>D25+IF(D10+D14+D18+D23+D28=0,0,1)&gt;Титул!$C$11</f>
        <v>0</v>
      </c>
      <c r="N25" s="60" t="b">
        <f>D25&gt;$D$23</f>
        <v>0</v>
      </c>
      <c r="O25" s="63" t="b">
        <f t="shared" si="2"/>
        <v>0</v>
      </c>
      <c r="P25" s="63" t="b">
        <f>E25+IF(E10+E14+E18+E23+E28=0,0,1)&gt;Титул!$C$11</f>
        <v>0</v>
      </c>
      <c r="Q25" s="63" t="b">
        <f>E25&gt;$E$23</f>
        <v>0</v>
      </c>
      <c r="R25" s="63" t="b">
        <f t="shared" si="3"/>
        <v>0</v>
      </c>
      <c r="S25" s="63">
        <f t="shared" si="4"/>
        <v>0</v>
      </c>
      <c r="T25" s="290"/>
      <c r="U25" s="95"/>
    </row>
    <row r="26" spans="1:21" ht="34.5" customHeight="1">
      <c r="A26" s="195" t="s">
        <v>451</v>
      </c>
      <c r="B26" s="210"/>
      <c r="C26" s="255"/>
      <c r="D26" s="240"/>
      <c r="E26" s="225"/>
      <c r="G26" s="375" t="b">
        <f>B26+IF(B10+B14+B18+B23+B28=0,0,1)&gt;Титул!$C$11</f>
        <v>0</v>
      </c>
      <c r="H26" s="60" t="b">
        <f>B26&gt;$B$23</f>
        <v>0</v>
      </c>
      <c r="I26" s="63" t="b">
        <f t="shared" si="0"/>
        <v>0</v>
      </c>
      <c r="J26" s="63" t="b">
        <f>C26+IF(C10+C14+C18+C23+C28=0,0,1)&gt;Титул!$C$11</f>
        <v>0</v>
      </c>
      <c r="K26" s="63" t="b">
        <f>C26&gt;$C$23</f>
        <v>0</v>
      </c>
      <c r="L26" s="63" t="b">
        <f t="shared" si="1"/>
        <v>0</v>
      </c>
      <c r="M26" s="60" t="b">
        <f>D26+IF(D10+D14+D18+D23+D28=0,0,1)&gt;Титул!$C$11</f>
        <v>0</v>
      </c>
      <c r="N26" s="60" t="b">
        <f>D26&gt;$D$23</f>
        <v>0</v>
      </c>
      <c r="O26" s="63" t="b">
        <f t="shared" si="2"/>
        <v>0</v>
      </c>
      <c r="P26" s="63" t="b">
        <f>E26+IF(E10+E14+E18+E23+E28=0,0,1)&gt;Титул!$C$11</f>
        <v>0</v>
      </c>
      <c r="Q26" s="63" t="b">
        <f>E26&gt;$E$23</f>
        <v>0</v>
      </c>
      <c r="R26" s="63" t="b">
        <f t="shared" si="3"/>
        <v>0</v>
      </c>
      <c r="S26" s="63">
        <f t="shared" si="4"/>
        <v>0</v>
      </c>
      <c r="T26" s="290"/>
      <c r="U26" s="95"/>
    </row>
    <row r="27" spans="1:21" ht="34.5" customHeight="1">
      <c r="A27" s="196" t="s">
        <v>64</v>
      </c>
      <c r="B27" s="211"/>
      <c r="C27" s="256"/>
      <c r="D27" s="241"/>
      <c r="E27" s="226"/>
      <c r="G27" s="375" t="b">
        <f>B27+IF(B10+B14+B18+B23+B28=0,0,1)&gt;Титул!$C$11</f>
        <v>0</v>
      </c>
      <c r="H27" s="60" t="b">
        <f>B27&gt;$B$23</f>
        <v>0</v>
      </c>
      <c r="I27" s="63" t="b">
        <f t="shared" si="0"/>
        <v>0</v>
      </c>
      <c r="J27" s="63" t="b">
        <f>C27+IF(C10+C14+C18+C23+C28=0,0,1)&gt;Титул!$C$11</f>
        <v>0</v>
      </c>
      <c r="K27" s="63" t="b">
        <f>C27&gt;$C$23</f>
        <v>0</v>
      </c>
      <c r="L27" s="63" t="b">
        <f t="shared" si="1"/>
        <v>0</v>
      </c>
      <c r="M27" s="60" t="b">
        <f>D27+IF(D10+D14+D18+D23+D28=0,0,1)&gt;Титул!$C$11</f>
        <v>0</v>
      </c>
      <c r="N27" s="60" t="b">
        <f>D27&gt;$D$23</f>
        <v>0</v>
      </c>
      <c r="O27" s="63" t="b">
        <f t="shared" si="2"/>
        <v>0</v>
      </c>
      <c r="P27" s="63" t="b">
        <f>E27+IF(E10+E14+E18+E23+E28=0,0,1)&gt;Титул!$C$11</f>
        <v>0</v>
      </c>
      <c r="Q27" s="63" t="b">
        <f>E27&gt;$E$23</f>
        <v>0</v>
      </c>
      <c r="R27" s="63" t="b">
        <f t="shared" si="3"/>
        <v>0</v>
      </c>
      <c r="S27" s="63">
        <f t="shared" si="4"/>
        <v>0</v>
      </c>
      <c r="T27" s="290"/>
      <c r="U27" s="95"/>
    </row>
    <row r="28" spans="1:21" ht="34.5" customHeight="1">
      <c r="A28" s="197" t="s">
        <v>413</v>
      </c>
      <c r="B28" s="212">
        <v>59</v>
      </c>
      <c r="C28" s="257">
        <v>59</v>
      </c>
      <c r="D28" s="242"/>
      <c r="E28" s="227"/>
      <c r="G28" s="375" t="b">
        <f>OR(B28+IF(B10+B14+B18+B23+B28=0,0,1)&gt;Титул!$C$11,B10+B14+B18+B23+B28+IF(B10+B14+B18+B23+B28=0,0,1)&gt;Титул!$C$11)</f>
        <v>0</v>
      </c>
      <c r="H28" s="60" t="b">
        <f>OR(B29&gt;B28,B30&gt;B28,B31&gt;B28)</f>
        <v>0</v>
      </c>
      <c r="I28" s="63" t="b">
        <f t="shared" si="0"/>
        <v>0</v>
      </c>
      <c r="J28" s="63" t="b">
        <f>OR(C28+IF(C10+C14+C18+C23+C28=0,0,1)&gt;Титул!$C$11,C10+C14+C18+C23+C28+(IF(H6=TRUE,1,0))&gt;Титул!$C$11)</f>
        <v>0</v>
      </c>
      <c r="K28" s="63" t="b">
        <f>OR(C29&gt;C28,C30&gt;C28,C31&gt;C28)</f>
        <v>0</v>
      </c>
      <c r="L28" s="63" t="b">
        <f t="shared" si="1"/>
        <v>0</v>
      </c>
      <c r="M28" s="60" t="b">
        <f>OR(D28+IF(D10+D14+D18+D23+D28=0,0,1)&gt;Титул!$C$11,D10+D14+D18+D23+D28+(IF(I6=TRUE,1,0))&gt;Титул!$C$11)</f>
        <v>0</v>
      </c>
      <c r="N28" s="60" t="b">
        <f>OR(D29&gt;D28,D30&gt;D28,D31&gt;D28)</f>
        <v>0</v>
      </c>
      <c r="O28" s="63" t="b">
        <f t="shared" si="2"/>
        <v>0</v>
      </c>
      <c r="P28" s="63" t="b">
        <f>OR(E28+IF(E10+E14+E18+E23+E28=0,0,1)&gt;Титул!$C$11,E10+E14+E18+E23+E28+(IF(J6=TRUE,1,0))&gt;Титул!$C$11)</f>
        <v>0</v>
      </c>
      <c r="Q28" s="63" t="b">
        <f>OR(E29&gt;E28,E30&gt;E28,E31&gt;E28)</f>
        <v>0</v>
      </c>
      <c r="R28" s="63" t="b">
        <f t="shared" si="3"/>
        <v>0</v>
      </c>
      <c r="S28" s="63">
        <f t="shared" si="4"/>
        <v>59</v>
      </c>
      <c r="T28" s="290"/>
      <c r="U28" s="95"/>
    </row>
    <row r="29" spans="1:21" ht="34.5" customHeight="1">
      <c r="A29" s="198" t="s">
        <v>463</v>
      </c>
      <c r="B29" s="213"/>
      <c r="C29" s="258"/>
      <c r="D29" s="243"/>
      <c r="E29" s="228"/>
      <c r="G29" s="375" t="b">
        <f>B29+IF(B10+B14+B18+B23+B28=0,0,1)&gt;Титул!$C$11</f>
        <v>0</v>
      </c>
      <c r="H29" s="60" t="b">
        <f>B29&gt;$B$28</f>
        <v>0</v>
      </c>
      <c r="I29" s="63" t="b">
        <f t="shared" si="0"/>
        <v>0</v>
      </c>
      <c r="J29" s="63" t="b">
        <f>C29+IF(C10+C14+C18+C23+C28=0,0,1)&gt;Титул!$C$11</f>
        <v>0</v>
      </c>
      <c r="K29" s="63" t="b">
        <f>C29&gt;$C$28</f>
        <v>0</v>
      </c>
      <c r="L29" s="63" t="b">
        <f t="shared" si="1"/>
        <v>0</v>
      </c>
      <c r="M29" s="60" t="b">
        <f>D29+IF(D10+D14+D18+D23+D28=0,0,1)&gt;Титул!$C$11</f>
        <v>0</v>
      </c>
      <c r="N29" s="60" t="b">
        <f>D29&gt;$D$28</f>
        <v>0</v>
      </c>
      <c r="O29" s="63" t="b">
        <f t="shared" si="2"/>
        <v>0</v>
      </c>
      <c r="P29" s="63" t="b">
        <f>E29+IF(E10+E14+E18+E23+E28=0,0,1)&gt;Титул!$C$11</f>
        <v>0</v>
      </c>
      <c r="Q29" s="63" t="b">
        <f>E29&gt;$E$28</f>
        <v>0</v>
      </c>
      <c r="R29" s="63" t="b">
        <f t="shared" si="3"/>
        <v>0</v>
      </c>
      <c r="S29" s="63">
        <f t="shared" si="4"/>
        <v>0</v>
      </c>
      <c r="T29" s="290"/>
      <c r="U29" s="95"/>
    </row>
    <row r="30" spans="1:21" ht="34.5" customHeight="1">
      <c r="A30" s="198" t="s">
        <v>22</v>
      </c>
      <c r="B30" s="213">
        <v>1</v>
      </c>
      <c r="C30" s="258">
        <v>1</v>
      </c>
      <c r="D30" s="243"/>
      <c r="E30" s="228"/>
      <c r="G30" s="375" t="b">
        <f>B30+IF(B10+B14+B18+B23+B28=0,0,1)&gt;Титул!$C$11</f>
        <v>0</v>
      </c>
      <c r="H30" s="60" t="b">
        <f>B30&gt;$B$28</f>
        <v>0</v>
      </c>
      <c r="I30" s="63" t="b">
        <f t="shared" si="0"/>
        <v>0</v>
      </c>
      <c r="J30" s="63" t="b">
        <f>C30+IF(C10+C14+C18+C23+C28=0,0,1)&gt;Титул!$C$11</f>
        <v>0</v>
      </c>
      <c r="K30" s="63" t="b">
        <f>C30&gt;$C$28</f>
        <v>0</v>
      </c>
      <c r="L30" s="63" t="b">
        <f t="shared" si="1"/>
        <v>0</v>
      </c>
      <c r="M30" s="60" t="b">
        <f>D30+IF(D10+D14+D18+D23+D28=0,0,1)&gt;Титул!$C$11</f>
        <v>0</v>
      </c>
      <c r="N30" s="60" t="b">
        <f>D30&gt;$D$28</f>
        <v>0</v>
      </c>
      <c r="O30" s="63" t="b">
        <f t="shared" si="2"/>
        <v>0</v>
      </c>
      <c r="P30" s="63" t="b">
        <f>E30+IF(E10+E14+E18+E23+E28=0,0,1)&gt;Титул!$C$11</f>
        <v>0</v>
      </c>
      <c r="Q30" s="63" t="b">
        <f>E30&gt;$E$28</f>
        <v>0</v>
      </c>
      <c r="R30" s="63" t="b">
        <f t="shared" si="3"/>
        <v>0</v>
      </c>
      <c r="S30" s="63">
        <f t="shared" si="4"/>
        <v>1</v>
      </c>
      <c r="T30" s="290"/>
      <c r="U30" s="95"/>
    </row>
    <row r="31" spans="1:21" ht="34.5" customHeight="1" thickBot="1">
      <c r="A31" s="199" t="s">
        <v>64</v>
      </c>
      <c r="B31" s="214"/>
      <c r="C31" s="259"/>
      <c r="D31" s="244">
        <v>0</v>
      </c>
      <c r="E31" s="229"/>
      <c r="G31" s="375" t="b">
        <f>B31+IF(B10+B14+B18+B23+B28=0,0,1)&gt;Титул!$C$11</f>
        <v>0</v>
      </c>
      <c r="H31" s="60" t="b">
        <f>B31&gt;$B$28</f>
        <v>0</v>
      </c>
      <c r="I31" s="63" t="b">
        <f t="shared" si="0"/>
        <v>0</v>
      </c>
      <c r="J31" s="63" t="b">
        <f>C31+IF(C10+C14+C18+C23+C28=0,0,1)&gt;Титул!$C$11</f>
        <v>0</v>
      </c>
      <c r="K31" s="63" t="b">
        <f>C31&gt;$C$28</f>
        <v>0</v>
      </c>
      <c r="L31" s="63" t="b">
        <f t="shared" si="1"/>
        <v>0</v>
      </c>
      <c r="M31" s="60" t="b">
        <f>D31+IF(D10+D14+D18+D23+D28=0,0,1)&gt;Титул!$C$11</f>
        <v>0</v>
      </c>
      <c r="N31" s="60" t="b">
        <f>D31&gt;$D$28</f>
        <v>0</v>
      </c>
      <c r="O31" s="63" t="b">
        <f t="shared" si="2"/>
        <v>0</v>
      </c>
      <c r="P31" s="63" t="b">
        <f>E31+IF(E10+E14+E18+E23+E28=0,0,1)&gt;Титул!$C$11</f>
        <v>0</v>
      </c>
      <c r="Q31" s="63" t="b">
        <f>E31&gt;$E$28</f>
        <v>0</v>
      </c>
      <c r="R31" s="63" t="b">
        <f t="shared" si="3"/>
        <v>0</v>
      </c>
      <c r="S31" s="63">
        <f t="shared" si="4"/>
        <v>0</v>
      </c>
      <c r="T31" s="290"/>
      <c r="U31" s="95"/>
    </row>
    <row r="32" spans="1:21" ht="46.5" customHeight="1">
      <c r="A32" s="484" t="s">
        <v>489</v>
      </c>
      <c r="B32" s="485"/>
      <c r="C32" s="485"/>
      <c r="D32" s="485"/>
      <c r="E32" s="485"/>
      <c r="T32" s="95"/>
      <c r="U32" s="95"/>
    </row>
    <row r="33" spans="1:21" ht="49.5" customHeight="1">
      <c r="A33" s="483" t="s">
        <v>397</v>
      </c>
      <c r="B33" s="483"/>
      <c r="C33" s="483"/>
      <c r="D33" s="483"/>
      <c r="E33" s="483"/>
      <c r="T33" s="95"/>
      <c r="U33" s="95"/>
    </row>
    <row r="34" spans="1:21" ht="21" customHeight="1">
      <c r="A34" s="496" t="s">
        <v>535</v>
      </c>
      <c r="B34" s="496"/>
      <c r="C34" s="496"/>
      <c r="D34" s="496"/>
      <c r="E34" s="496"/>
      <c r="G34" s="393" t="str">
        <f>A34</f>
        <v>Местное отделение ДОСААФ России Кочубеевского района Ставропольского края (с.Кочубеевское, Кочубеевский район)</v>
      </c>
      <c r="T34" s="95"/>
      <c r="U34" s="95"/>
    </row>
    <row r="35" spans="1:21" ht="3" customHeight="1">
      <c r="A35" s="72"/>
      <c r="B35" s="72"/>
      <c r="C35" s="72"/>
      <c r="D35" s="72"/>
      <c r="E35" s="72"/>
      <c r="G35" s="393"/>
      <c r="T35" s="95"/>
      <c r="U35" s="95"/>
    </row>
    <row r="36" spans="1:21" ht="21" customHeight="1">
      <c r="A36" s="496"/>
      <c r="B36" s="496"/>
      <c r="C36" s="496"/>
      <c r="D36" s="496"/>
      <c r="E36" s="496"/>
      <c r="G36" s="393">
        <f>A36</f>
        <v>0</v>
      </c>
      <c r="T36" s="95"/>
      <c r="U36" s="95"/>
    </row>
    <row r="37" spans="1:21" ht="3" customHeight="1">
      <c r="A37" s="72"/>
      <c r="B37" s="72"/>
      <c r="C37" s="72"/>
      <c r="D37" s="72"/>
      <c r="E37" s="72"/>
      <c r="G37" s="393"/>
      <c r="T37" s="95"/>
      <c r="U37" s="95"/>
    </row>
    <row r="38" spans="1:21" ht="21" customHeight="1">
      <c r="A38" s="496"/>
      <c r="B38" s="496"/>
      <c r="C38" s="496"/>
      <c r="D38" s="496"/>
      <c r="E38" s="496"/>
      <c r="G38" s="393">
        <f>A38</f>
        <v>0</v>
      </c>
      <c r="T38" s="95"/>
      <c r="U38" s="95"/>
    </row>
    <row r="39" spans="1:21" ht="3" customHeight="1">
      <c r="A39" s="72"/>
      <c r="B39" s="72"/>
      <c r="C39" s="72"/>
      <c r="D39" s="72"/>
      <c r="E39" s="72"/>
      <c r="G39" s="393"/>
      <c r="T39" s="95"/>
      <c r="U39" s="95"/>
    </row>
    <row r="40" spans="1:21" ht="21" customHeight="1">
      <c r="A40" s="496"/>
      <c r="B40" s="496"/>
      <c r="C40" s="496"/>
      <c r="D40" s="496"/>
      <c r="E40" s="496"/>
      <c r="G40" s="393">
        <f>A40</f>
        <v>0</v>
      </c>
      <c r="T40" s="95"/>
      <c r="U40" s="95"/>
    </row>
    <row r="41" spans="1:21">
      <c r="A41" s="93"/>
      <c r="B41" s="94"/>
      <c r="C41" s="43"/>
      <c r="D41" s="43"/>
      <c r="E41" s="43"/>
      <c r="G41" s="61"/>
      <c r="T41" s="95"/>
      <c r="U41" s="95"/>
    </row>
    <row r="42" spans="1:21" ht="45" customHeight="1">
      <c r="A42" s="499" t="s">
        <v>491</v>
      </c>
      <c r="B42" s="499"/>
      <c r="C42" s="499"/>
      <c r="D42" s="499"/>
      <c r="E42" s="499"/>
      <c r="T42" s="95"/>
      <c r="U42" s="95"/>
    </row>
    <row r="43" spans="1:21" ht="18" customHeight="1">
      <c r="A43" s="498"/>
      <c r="B43" s="498"/>
      <c r="C43" s="498"/>
      <c r="D43" s="498"/>
      <c r="E43" s="498"/>
      <c r="T43" s="95"/>
      <c r="U43" s="95"/>
    </row>
    <row r="44" spans="1:21" ht="18" customHeight="1">
      <c r="A44" s="500"/>
      <c r="B44" s="500"/>
      <c r="C44" s="500"/>
      <c r="D44" s="500"/>
      <c r="E44" s="500"/>
      <c r="T44" s="95"/>
      <c r="U44" s="95"/>
    </row>
    <row r="45" spans="1:21" ht="67.5" customHeight="1">
      <c r="A45" s="501" t="s">
        <v>418</v>
      </c>
      <c r="B45" s="501"/>
      <c r="C45" s="501"/>
      <c r="D45" s="501"/>
      <c r="E45" s="501"/>
      <c r="T45" s="95"/>
      <c r="U45" s="95"/>
    </row>
    <row r="46" spans="1:21">
      <c r="A46" s="67"/>
      <c r="B46" s="68"/>
      <c r="C46" s="69"/>
      <c r="D46" s="69"/>
      <c r="E46" s="69"/>
      <c r="T46" s="95"/>
      <c r="U46" s="95"/>
    </row>
    <row r="47" spans="1:21" ht="24" customHeight="1">
      <c r="A47" s="497" t="str">
        <f>IF(G47&gt;0,CONCATENATE("УКАЗАТЕЛЬ ОТДЕЛЬНЫХ ОШИБОК ДАННЫХ (замечаний – ",G47," шт.)"),"")</f>
        <v/>
      </c>
      <c r="B47" s="497"/>
      <c r="C47" s="497"/>
      <c r="D47" s="497"/>
      <c r="E47" s="497"/>
      <c r="G47" s="60">
        <f>47-COUNTIF(A48:E94," ")</f>
        <v>0</v>
      </c>
      <c r="T47" s="95"/>
      <c r="U47" s="95"/>
    </row>
    <row r="48" spans="1:21" ht="41.25" customHeight="1">
      <c r="A48" s="477" t="str">
        <f>IF(Титул!C11&lt;(Обучение!B10+Обучение!B14+Обучение!B18+Обучение!B23+Обучение!B28+IF(B10+B14+B18+B23+B28=0,0,1)),"Общая численность руководителей (без учета работодателя), специалистов и рабочих в категории обучаемых (" &amp; Обучение!B10+Обучение!B14+Обучение!B18+Обучение!B23+Обучение!B28 &amp; " чел.), больше численности всех работников в организации (" &amp; Титул!C11-IF(Титул!C11=0,0,1) &amp; " чел.)! Проверьте введенные данные в красных ячейках столбца &lt;ВСЕГО в организации&gt;"," ")</f>
        <v xml:space="preserve"> </v>
      </c>
      <c r="B48" s="477"/>
      <c r="C48" s="477"/>
      <c r="D48" s="477"/>
      <c r="E48" s="477"/>
      <c r="G48" s="60">
        <f>IF(B6="да",1,0)</f>
        <v>0</v>
      </c>
      <c r="H48" s="1" t="s">
        <v>514</v>
      </c>
    </row>
    <row r="49" spans="1:8" ht="54" customHeight="1">
      <c r="A49" s="477" t="str">
        <f>IF(Титул!C11&lt;C10+C14+C18+C23+C28+IF(H6=TRUE,1,0),"Общая численность руководителей (без учета работодателя), специалистов и рабочих, прошедших обучение по охране труда и проверку знания требований охраны труда (" &amp; C10+C14+C18+C23+C28 &amp; " чел.), больше численности работников в организации (" &amp; Титул!C11-1 &amp; " чел.)! Проверьте введенные данные в красных ячейках столбца &lt;первичные и очередные&gt;"," ")</f>
        <v xml:space="preserve"> </v>
      </c>
      <c r="B49" s="477"/>
      <c r="C49" s="477"/>
      <c r="D49" s="477"/>
      <c r="E49" s="477"/>
      <c r="G49" s="60">
        <f>IF(C6="да",1,0)</f>
        <v>1</v>
      </c>
      <c r="H49" s="1" t="s">
        <v>515</v>
      </c>
    </row>
    <row r="50" spans="1:8" ht="41.25" customHeight="1">
      <c r="A50" s="477" t="str">
        <f>IF(Титул!C11&lt;D10+D14+D18+D23+D28+IF(I6=TRUE,1,0),"Общая численность руководителей (без учета работодателя), специалистов и рабочих, прошедших внеочередную проверку знания требований охраны труда (" &amp; D10+D14+D18+D23+D28 &amp; " чел.), больше численности работников в организации (" &amp; Титул!C11-1 &amp; " чел.)! Проверьте введенные данные в красных ячейках столбца &lt;внеочередные&gt;"," ")</f>
        <v xml:space="preserve"> </v>
      </c>
      <c r="B50" s="477"/>
      <c r="C50" s="477"/>
      <c r="D50" s="477"/>
      <c r="E50" s="477"/>
      <c r="G50" s="60">
        <f>IF(D6="да",1,0)</f>
        <v>0</v>
      </c>
      <c r="H50" s="1" t="s">
        <v>516</v>
      </c>
    </row>
    <row r="51" spans="1:8" ht="41.25" customHeight="1">
      <c r="A51" s="477" t="str">
        <f>IF(Титул!C11&lt;E10+E14+E18+E23+E28+IF(J6=TRUE,1,0),"Общая численность руководителей (без учета работодателя), специалистов и рабочих, прошедших обучение оказанию первой помощи пострадавшим
(" &amp; E10+E14+E18+E23+E28 &amp; " чел.), больше численности всех работников в организации (" &amp; Титул!C11-1 &amp; " чел.)! Проверьте введенные данные в красных ячейках соответствующего столбца"," ")</f>
        <v xml:space="preserve"> </v>
      </c>
      <c r="B51" s="477"/>
      <c r="C51" s="477"/>
      <c r="D51" s="477"/>
      <c r="E51" s="477"/>
      <c r="H51" s="1" t="s">
        <v>517</v>
      </c>
    </row>
    <row r="52" spans="1:8" ht="41.25" customHeight="1">
      <c r="A52" s="477" t="str">
        <f>IF(OR(B10-1&gt;Титул!C11,C10-1&gt;Титул!C11,D10-1&gt;Титул!C11,E10-1&gt;Титул!C11),"Численность заместителей руководителя организации (" &amp; MAX(B10,C10,D10,E10) &amp; " чел.), больше численности всех работников в организации (" &amp; Титул!C11-1 &amp; " чел.)!
Проверьте введенные данные в красной(-ых) ячейке(-ах) соответствующей строки"," ")</f>
        <v xml:space="preserve"> </v>
      </c>
      <c r="B52" s="477"/>
      <c r="C52" s="477"/>
      <c r="D52" s="477"/>
      <c r="E52" s="477"/>
      <c r="G52" s="76"/>
      <c r="H52" s="1" t="s">
        <v>518</v>
      </c>
    </row>
    <row r="53" spans="1:8" ht="41.25" customHeight="1">
      <c r="A53" s="477" t="str">
        <f>IF(OR(B14-1&gt;Титул!C11,C14-1&gt;Титул!C11,D14-1&gt;Титул!C11,E14-1&gt;Титул!C11),"Численность руководителей структурных подразделений, главных специалистов и их заместителей (" &amp; MAX(B14,C14,D14,E14) &amp; " чел.),
больше численности всех людей в организации (" &amp; Титул!C11-1 &amp; " чел.)! Проверьте введенные данные в красной(-ых) ячейке(-ах) соответствующей строки"," ")</f>
        <v xml:space="preserve"> </v>
      </c>
      <c r="B53" s="477"/>
      <c r="C53" s="477"/>
      <c r="D53" s="477"/>
      <c r="E53" s="477"/>
      <c r="H53" s="1" t="s">
        <v>519</v>
      </c>
    </row>
    <row r="54" spans="1:8" ht="41.25" customHeight="1">
      <c r="A54" s="477" t="str">
        <f>IF(OR(B18-1&gt;Титул!C11,C18-1&gt;Титул!C11,D18-1&gt;Титул!C11,E18-1&gt;Титул!C11),"Численность специалистов (кроме по охране труда) (" &amp; MAX(B18,C18,D18,E18) &amp; " чел.), больше численности всех работников в организации (" &amp; Титул!C11-1 &amp; " чел.)!
Проверьте введенные данные в красной(-ых) ячейке(-ах) соответствующей строки"," ")</f>
        <v xml:space="preserve"> </v>
      </c>
      <c r="B54" s="477"/>
      <c r="C54" s="477"/>
      <c r="D54" s="477"/>
      <c r="E54" s="477"/>
      <c r="H54" s="1" t="s">
        <v>520</v>
      </c>
    </row>
    <row r="55" spans="1:8" ht="41.25" customHeight="1">
      <c r="A55" s="477" t="str">
        <f>IF(OR(B23-1&gt;Титул!C11,C23-1&gt;Титул!C11,D23-1&gt;Титул!C11,E23-1&gt;Титул!C11),"Численность специалистов по охране труда (" &amp; MAX(B23,C23,D23,E23) &amp; " чел.), больше численности всех работников в организации (" &amp; Титул!C11-1 &amp; " чел.)!
Проверьте введенные данные в красной(-ых) ячейке(-ах) соответствующей строки"," ")</f>
        <v xml:space="preserve"> </v>
      </c>
      <c r="B55" s="477"/>
      <c r="C55" s="477"/>
      <c r="D55" s="477"/>
      <c r="E55" s="477"/>
      <c r="H55" s="1" t="s">
        <v>521</v>
      </c>
    </row>
    <row r="56" spans="1:8" ht="41.25" customHeight="1">
      <c r="A56" s="477" t="str">
        <f>IF(OR(B28-1&gt;Титул!C11,C28-1&gt;Титул!C11,D28-1&gt;Титул!C11,E28-1&gt;Титул!C11),"Численность рабочих (" &amp; MAX(B28,C28,D28,E28) &amp; " чел.), больше численности всех работников в организации (" &amp; Титул!C11-1 &amp; " чел.)!
Проверьте введенные данные в красной(-ых) ячейке(-ах) соответствующей строки"," ")</f>
        <v xml:space="preserve"> </v>
      </c>
      <c r="B56" s="477"/>
      <c r="C56" s="477"/>
      <c r="D56" s="477"/>
      <c r="E56" s="477"/>
      <c r="H56" s="1" t="s">
        <v>522</v>
      </c>
    </row>
    <row r="57" spans="1:8" ht="41.25" customHeight="1">
      <c r="A57" s="477" t="str">
        <f>IF(OR(B11&gt;B10,B12&gt;B10,B13&gt;B10),"Численность заместителей руководителя организации с обозначенными здесь полномочиями (" &amp; MAX(B11,B12,B13) &amp; " чел.), больше общей численности заместителей руководителя организации (" &amp; B10 &amp; " чел.)!"," ")</f>
        <v xml:space="preserve"> </v>
      </c>
      <c r="B57" s="477"/>
      <c r="C57" s="477"/>
      <c r="D57" s="477"/>
      <c r="E57" s="477"/>
      <c r="G57" s="76"/>
      <c r="H57" s="1" t="s">
        <v>523</v>
      </c>
    </row>
    <row r="58" spans="1:8" ht="54" customHeight="1">
      <c r="A58" s="477" t="str">
        <f>IF(OR(C11&gt;C10,C12&gt;C10,C13&gt;C10),"Численность прошедших обучение по охране труда и проверку знания требований охраны труда заместителей руководителя организации с обозначенными здесь полномочиями (" &amp; MAX(C11,C12,C13) &amp; " чел.), больше общей численности прошедших такие обучение и проверку заместителей руководителя организации (" &amp; C10 &amp; " чел.)!"," ")</f>
        <v xml:space="preserve"> </v>
      </c>
      <c r="B58" s="477"/>
      <c r="C58" s="477"/>
      <c r="D58" s="477"/>
      <c r="E58" s="477"/>
      <c r="H58" s="1" t="s">
        <v>524</v>
      </c>
    </row>
    <row r="59" spans="1:8" ht="41.25" customHeight="1">
      <c r="A59" s="477" t="str">
        <f>IF(OR(D11&gt;D10,D12&gt;D10,D13&gt;D10),"Численность прошедших внеочередную проверку знания требований охраны труда заместителей руководителя организации с обозначенными здесь полномочиями (" &amp; MAX(D11,D12,D13) &amp; " чел.), больше общей численности прошедших такую проверку заместителей руководителя организации (" &amp; D10 &amp; " чел.)!"," ")</f>
        <v xml:space="preserve"> </v>
      </c>
      <c r="B59" s="477"/>
      <c r="C59" s="477"/>
      <c r="D59" s="477"/>
      <c r="E59" s="477"/>
      <c r="H59" s="1" t="s">
        <v>525</v>
      </c>
    </row>
    <row r="60" spans="1:8" ht="41.25" customHeight="1">
      <c r="A60" s="477" t="str">
        <f>IF(OR(E11&gt;E10,E12&gt;E10,E13&gt;E10),"Численность прошедших обучение оказанию первой помощи пострадавшим заместителей руководителя организации с обозначенными здесь полномочиями (" &amp; MAX(E11,E12,E13) &amp; " чел.), больше общей численности прошедших такое обучение заместителей руководителя организации (" &amp; E10 &amp; " чел.)!"," ")</f>
        <v xml:space="preserve"> </v>
      </c>
      <c r="B60" s="477"/>
      <c r="C60" s="477"/>
      <c r="D60" s="477"/>
      <c r="E60" s="477"/>
      <c r="H60" s="1" t="s">
        <v>526</v>
      </c>
    </row>
    <row r="61" spans="1:8" ht="41.25" customHeight="1">
      <c r="A61" s="477" t="str">
        <f>IF(OR(B15&gt;B14,B16&gt;B14,B17&gt;B14),"Численность руководителей структурных подразделений, главных специалистов и их заместителей с обозначенными здесь полномочиями (" &amp; MAX(B15,B16,B17) &amp; " чел.), больше общей численности руководителей структурных подразделений, главных специалистов и их заместителей (" &amp; B14 &amp; " чел.)!"," ")</f>
        <v xml:space="preserve"> </v>
      </c>
      <c r="B61" s="477"/>
      <c r="C61" s="477"/>
      <c r="D61" s="477"/>
      <c r="E61" s="477"/>
      <c r="G61" s="76"/>
      <c r="H61" s="1" t="s">
        <v>527</v>
      </c>
    </row>
    <row r="62" spans="1:8" ht="54" customHeight="1">
      <c r="A62" s="477" t="str">
        <f>IF(OR(C15&gt;C14,C16&gt;C14,C17&gt;C14),"Численность прошедших обучение по охране труда и проверку знания требований охраны труда руководителей структурных подразделений, главных специалистов и их заместителей с обозначенными здесь полномочиями (" &amp; MAX(C15,C16,C17) &amp; " чел.), больше общей численности прошедших такое обучение руководителей структурных подразделений, главных специалистов и их заместителей (" &amp; C14 &amp; " чел.)!"," ")</f>
        <v xml:space="preserve"> </v>
      </c>
      <c r="B62" s="477"/>
      <c r="C62" s="477"/>
      <c r="D62" s="477"/>
      <c r="E62" s="477"/>
      <c r="H62" s="1" t="s">
        <v>528</v>
      </c>
    </row>
    <row r="63" spans="1:8" ht="54" customHeight="1">
      <c r="A63" s="477" t="str">
        <f>IF(OR(D15&gt;D14,D16&gt;D14,D17&gt;D14),"Численность прошедших внеочередную проверку знания требований охраны труда руководителей структурных подразделений, главных специалистов и их заместителей с обозначенными здесь полномочиями (" &amp; MAX(D15,D16,D17) &amp; " чел.), больше общей численности прошедших такую проверку руководителей структурных подразделений, главных специалистов и их заместителей (" &amp; D14 &amp; " чел.)!"," ")</f>
        <v xml:space="preserve"> </v>
      </c>
      <c r="B63" s="477"/>
      <c r="C63" s="477"/>
      <c r="D63" s="477"/>
      <c r="E63" s="477"/>
      <c r="H63" s="1" t="s">
        <v>529</v>
      </c>
    </row>
    <row r="64" spans="1:8" ht="54" customHeight="1">
      <c r="A64" s="477" t="str">
        <f>IF(OR(E15&gt;E14,E16&gt;E14,E17&gt;E14),"Численность прошедших обучение оказанию первой помощи пострадавшим руководителей структурных подразделений, главных специалистов и их заместителей с обозначенными здесь полномочиями (" &amp; MAX(E15,E16,E17) &amp; " чел.), больше общей численности прошедших такое обучение руководителей структурных подразделений, главных специалистов и их заместителей (" &amp; E14 &amp; " чел.)!"," ")</f>
        <v xml:space="preserve"> </v>
      </c>
      <c r="B64" s="477"/>
      <c r="C64" s="477"/>
      <c r="D64" s="477"/>
      <c r="E64" s="477"/>
      <c r="H64" s="1" t="s">
        <v>530</v>
      </c>
    </row>
    <row r="65" spans="1:8" ht="41.25" customHeight="1">
      <c r="A65" s="477" t="str">
        <f>IF(OR(B19&gt;B18,B20&gt;B18,B21&gt;B18,B22&gt;B18),"Численность специалистов (кроме по охране труда) с обозначенными здесь полномочиями (" &amp; MAX(B19,B20,B21,B22) &amp; " чел.), больше общей численности специалистов (кроме по охране труда) (" &amp; B18 &amp; " чел.)!"," ")</f>
        <v xml:space="preserve"> </v>
      </c>
      <c r="B65" s="477"/>
      <c r="C65" s="477"/>
      <c r="D65" s="477"/>
      <c r="E65" s="477"/>
      <c r="H65" s="1" t="s">
        <v>531</v>
      </c>
    </row>
    <row r="66" spans="1:8" ht="41.25" customHeight="1">
      <c r="A66" s="477" t="str">
        <f>IF(OR(C19&gt;C18,C20&gt;C18,C21&gt;C18,C22&gt;C18),"Численность прошедших обучение по охране труда и проверку знания требований охраны труда специалистов (кроме по охране труда) с обозначенными здесь полномочиями (" &amp; MAX(C19,C20,C21,C22) &amp; " чел.), больше общей численности прошедших такое обучение специалистов (кроме по охране труда) (" &amp; C18 &amp; " чел.)!"," ")</f>
        <v xml:space="preserve"> </v>
      </c>
      <c r="B66" s="477"/>
      <c r="C66" s="477"/>
      <c r="D66" s="477"/>
      <c r="E66" s="477"/>
      <c r="H66" s="1" t="s">
        <v>532</v>
      </c>
    </row>
    <row r="67" spans="1:8" ht="41.25" customHeight="1">
      <c r="A67" s="477" t="str">
        <f>IF(OR(D19&gt;D18,D20&gt;D18,D21&gt;D18,D22&gt;D18),"Численность прошедших внеочередную проверку знания требований охраны труда специалистов (кроме по охране труда) с обозначенными здесь полномочиями (" &amp; MAX(D19,D20,D21,D22) &amp; " чел.), больше общей численности прошедших такую проверку специалистов (кроме по охране труда) (" &amp; D18 &amp; " чел.)!"," ")</f>
        <v xml:space="preserve"> </v>
      </c>
      <c r="B67" s="477"/>
      <c r="C67" s="477"/>
      <c r="D67" s="477"/>
      <c r="E67" s="477"/>
      <c r="H67" s="1" t="s">
        <v>533</v>
      </c>
    </row>
    <row r="68" spans="1:8" ht="41.25" customHeight="1">
      <c r="A68" s="477" t="str">
        <f>IF(OR(E19&gt;E18,E20&gt;E18,E21&gt;E18,E22&gt;E18),"Численность прошедших обучение оказанию первой помощи пострадавшим специалистов (кроме по охране труда) с обозначенными здесь полномочиями (" &amp; MAX(E19,E20,E21,E22) &amp; " чел.), больше общей численности прошедших такое обучение специалистов (кроме по охране труда) (" &amp; E18 &amp; " чел.)!"," ")</f>
        <v xml:space="preserve"> </v>
      </c>
      <c r="B68" s="477"/>
      <c r="C68" s="477"/>
      <c r="D68" s="477"/>
      <c r="E68" s="477"/>
      <c r="H68" s="1" t="s">
        <v>534</v>
      </c>
    </row>
    <row r="69" spans="1:8" ht="41.25" customHeight="1">
      <c r="A69" s="477" t="str">
        <f>IF(OR(B24&gt;B23,B25&gt;B23,B26&gt;B23,B27&gt;B23),"Численность специалистов по охране труда с обозначенными здесь полномочиями (" &amp; MAX(B24,B25,B26,B27) &amp; " чел.), больше общей численности специалистов по охране труда (" &amp; B23 &amp; " чел.)!"," ")</f>
        <v xml:space="preserve"> </v>
      </c>
      <c r="B69" s="477"/>
      <c r="C69" s="477"/>
      <c r="D69" s="477"/>
      <c r="E69" s="477"/>
      <c r="H69" s="1" t="s">
        <v>535</v>
      </c>
    </row>
    <row r="70" spans="1:8" ht="41.25" customHeight="1">
      <c r="A70" s="477" t="str">
        <f>IF(OR(C24&gt;C23,C25&gt;C23,C26&gt;C23,C27&gt;C23),"Численность прошедших обучение по охране труда и проверку знания требований охраны труда специалистов по охране труда с обозначенными здесь полномочиями (" &amp; MAX(C24,C25,C26,C27) &amp; " чел.), больше общей численности прошедших такое обучение специалистов по охране труда (" &amp; C23 &amp; " чел.)!"," ")</f>
        <v xml:space="preserve"> </v>
      </c>
      <c r="B70" s="477"/>
      <c r="C70" s="477"/>
      <c r="D70" s="477"/>
      <c r="E70" s="477"/>
      <c r="H70" s="1" t="s">
        <v>536</v>
      </c>
    </row>
    <row r="71" spans="1:8" ht="41.25" customHeight="1">
      <c r="A71" s="477" t="str">
        <f>IF(OR(D24&gt;D23,D25&gt;D23,D26&gt;D23,D27&gt;D23),"Численность прошедших внеочередную проверку знания требований охраны труда специалистов по охране труда с обозначенными здесь полномочиями (" &amp; MAX(D24,D25,D26,D27) &amp; " чел.), больше общей численности прошедших такую проверку специалистов по охране труда (" &amp; D23 &amp; " чел.)!"," ")</f>
        <v xml:space="preserve"> </v>
      </c>
      <c r="B71" s="477"/>
      <c r="C71" s="477"/>
      <c r="D71" s="477"/>
      <c r="E71" s="477"/>
      <c r="H71" s="1" t="s">
        <v>537</v>
      </c>
    </row>
    <row r="72" spans="1:8" ht="41.25" customHeight="1">
      <c r="A72" s="477" t="str">
        <f>IF(OR(E24&gt;E23,E25&gt;E23,E26&gt;E23,E27&gt;E23),"Численность прошедших обучение оказанию первой помощи пострадавшим специалистов по охране труда с обозначенными полномочиями (" &amp; MAX(E24,E25,E26,E27) &amp; " чел.), больше общей численности прошедших такое обучение специалистов по охране труда (" &amp; E23 &amp; " чел.)!"," ")</f>
        <v xml:space="preserve"> </v>
      </c>
      <c r="B72" s="477"/>
      <c r="C72" s="477"/>
      <c r="D72" s="477"/>
      <c r="E72" s="477"/>
      <c r="H72" s="1" t="s">
        <v>509</v>
      </c>
    </row>
    <row r="73" spans="1:8" ht="30" customHeight="1">
      <c r="A73" s="477" t="str">
        <f>IF(OR(B29&gt;B28,B30&gt;B28,B31&gt;B28),"Численность рабочих с обозначенными здесь полномочиями (" &amp; MAX(B29,B30,B31) &amp; " чел.), больше общей численности рабочих (" &amp; B28 &amp; " чел.)!"," ")</f>
        <v xml:space="preserve"> </v>
      </c>
      <c r="B73" s="477"/>
      <c r="C73" s="477"/>
      <c r="D73" s="477"/>
      <c r="E73" s="477"/>
      <c r="H73" s="1" t="s">
        <v>538</v>
      </c>
    </row>
    <row r="74" spans="1:8" ht="41.25" customHeight="1">
      <c r="A74" s="477" t="str">
        <f>IF(OR(C29&gt;C28,C30&gt;C28,C31&gt;C28),"Численность прошедших обучение по охране труда и проверку знания требований охраны труда рабочих с обозначенными здесь полномочиями (" &amp; MAX(C29,C30,C31) &amp; " чел.), больше общей численности прошедших такое обучение рабочих (" &amp; C28 &amp; " чел.)!"," ")</f>
        <v xml:space="preserve"> </v>
      </c>
      <c r="B74" s="477"/>
      <c r="C74" s="477"/>
      <c r="D74" s="477"/>
      <c r="E74" s="477"/>
      <c r="H74" s="1" t="s">
        <v>539</v>
      </c>
    </row>
    <row r="75" spans="1:8" ht="41.25" customHeight="1">
      <c r="A75" s="477" t="str">
        <f>IF(OR(D29&gt;D28,D30&gt;D28,D31&gt;D28),"Численность прошедших внеочередную проверку знания требований охраны труда рабочих с обозначенными здесь полномочиями (" &amp; MAX(D29,D30,D31) &amp; " чел.), больше общей численности прошедших такую проверку рабочих (" &amp; D28 &amp; " чел.)!"," ")</f>
        <v xml:space="preserve"> </v>
      </c>
      <c r="B75" s="477"/>
      <c r="C75" s="477"/>
      <c r="D75" s="477"/>
      <c r="E75" s="477"/>
      <c r="H75" s="1" t="s">
        <v>540</v>
      </c>
    </row>
    <row r="76" spans="1:8" ht="41.25" customHeight="1">
      <c r="A76" s="477" t="str">
        <f>IF(OR(E29&gt;E28,E30&gt;E28,E31&gt;E28),"Численность рабочих с обозначенными здесь полномочиями, прошедших обучение оказанию первой помощи пострадавшим (" &amp; MAX(E29,E30,E31) &amp; " чел.), больше общей численности прошедших такое обучение рабочих (" &amp; E28 &amp; " чел.)!"," ")</f>
        <v xml:space="preserve"> </v>
      </c>
      <c r="B76" s="477"/>
      <c r="C76" s="477"/>
      <c r="D76" s="477"/>
      <c r="E76" s="477"/>
      <c r="H76" s="1" t="s">
        <v>541</v>
      </c>
    </row>
    <row r="77" spans="1:8" ht="41.25" customHeight="1">
      <c r="A77" s="477" t="str">
        <f>IF(OR(MAX(B11:E13)-1&gt;Титул!C11),"Численность заместителей руководителя организации с обозначенными здесь полномочиями (" &amp; MAX(B11:E13) &amp; " чел.), больше численности всех работников в организации (" &amp; Титул!C11-1 &amp; " чел.)! Проверьте введенные данные в соответствующей ячейке с красным фоном"," ")</f>
        <v xml:space="preserve"> </v>
      </c>
      <c r="B77" s="477"/>
      <c r="C77" s="477"/>
      <c r="D77" s="477"/>
      <c r="E77" s="477"/>
      <c r="G77" s="76"/>
      <c r="H77" s="1" t="s">
        <v>542</v>
      </c>
    </row>
    <row r="78" spans="1:8" ht="41.25" customHeight="1">
      <c r="A78" s="477" t="str">
        <f>IF(MAX(B15:E17)-1&gt;Титул!C11,"Численность руководителей структурных подразделений, главных специалистов и их заместителей с обозначенными здесь полномочиями (" &amp; MAX(B15:E17) &amp; " чел.), больше численности всех работников в организации (" &amp; Титул!C11-1 &amp; " чел.)! Проверьте введенные данные в соответствующей ячейке с красным фоном"," ")</f>
        <v xml:space="preserve"> </v>
      </c>
      <c r="B78" s="477"/>
      <c r="C78" s="477"/>
      <c r="D78" s="477"/>
      <c r="E78" s="477"/>
      <c r="H78" s="1" t="s">
        <v>543</v>
      </c>
    </row>
    <row r="79" spans="1:8" ht="41.25" customHeight="1">
      <c r="A79" s="477" t="str">
        <f>IF(MAX(B19:E22)-1&gt;Титул!C11,"Численность специалистов (кроме по охране труда) с обозначенными здесь полномочиями (" &amp; MAX(B19:E22) &amp; " чел.), больше численности работников в организации (" &amp; Титул!C11-1 &amp; " чел.)! Проверьте введенные данные в соответствующей ячейке с красным фоном"," ")</f>
        <v xml:space="preserve"> </v>
      </c>
      <c r="B79" s="477"/>
      <c r="C79" s="477"/>
      <c r="D79" s="477"/>
      <c r="E79" s="477"/>
      <c r="H79" s="1" t="s">
        <v>544</v>
      </c>
    </row>
    <row r="80" spans="1:8" ht="40.5" customHeight="1">
      <c r="A80" s="477" t="str">
        <f>IF(MAX(B24:E27)-1&gt;Титул!C11,"Численность специалистов по охране труда с обозначенными здесь полномочиями (" &amp; MAX(B24:E27) &amp; " чел.), больше численности всех работников в организации (" &amp; Титул!C11-1 &amp; " чел.)! Проверьте введенные данные в соответствующей ячейке с красным фоном"," ")</f>
        <v xml:space="preserve"> </v>
      </c>
      <c r="B80" s="477"/>
      <c r="C80" s="477"/>
      <c r="D80" s="477"/>
      <c r="E80" s="477"/>
      <c r="H80" s="1" t="s">
        <v>545</v>
      </c>
    </row>
    <row r="81" spans="1:9" ht="41.25" customHeight="1">
      <c r="A81" s="477" t="str">
        <f>IF(MAX(B29:E31)-1&gt;Титул!C11,"Численность рабочих с обозначенными здесь полномочиями (" &amp; MAX(B29:E31) &amp; " чел.), больше численности всех работников в организации (" &amp; Титул!C11-1 &amp; " чел.)! Проверьте введенные данные в соответствующей ячейке с красным фоном"," ")</f>
        <v xml:space="preserve"> </v>
      </c>
      <c r="B81" s="477"/>
      <c r="C81" s="477"/>
      <c r="D81" s="477"/>
      <c r="E81" s="477"/>
      <c r="H81" s="1" t="s">
        <v>546</v>
      </c>
    </row>
    <row r="82" spans="1:9" ht="41.25" customHeight="1">
      <c r="A82" s="477" t="str">
        <f>IF(OR(C10&gt;B10,D10&gt;B10,E10&gt;B10),"Общая численность прошедших обучение и (или) проверку знания заместителей руководителя организации (" &amp; MAX(C10:E10) &amp; " чел.), больше численности всех заместителей руководителя организации (" &amp; B10 &amp; " чел.)!"," ")</f>
        <v xml:space="preserve"> </v>
      </c>
      <c r="B82" s="477"/>
      <c r="C82" s="477"/>
      <c r="D82" s="477"/>
      <c r="E82" s="477"/>
      <c r="G82" s="76"/>
      <c r="H82" s="1" t="s">
        <v>547</v>
      </c>
    </row>
    <row r="83" spans="1:9" ht="41.25" customHeight="1">
      <c r="A83" s="477" t="str">
        <f>IF(OR(I11=TRUE,I12=TRUE,I13=TRUE),"Численность прошедших обучение и (или) проверку знания заместителей руководителя организации с обозначенным полномочием (" &amp; MAX(S11:S13) &amp; " чел.), больше численности всех заместителей руководителя организации с таким же полномочием (" &amp; CHOOSE(MATCH(MAX(S11:S13),S11:S13,FALSE),B11,B12,B13) &amp; " чел.)!"," ")</f>
        <v xml:space="preserve"> </v>
      </c>
      <c r="B83" s="477"/>
      <c r="C83" s="477"/>
      <c r="D83" s="477"/>
      <c r="E83" s="477"/>
      <c r="H83" s="1" t="s">
        <v>548</v>
      </c>
    </row>
    <row r="84" spans="1:9" ht="41.25" customHeight="1">
      <c r="A84" s="477" t="str">
        <f>IF(OR(C14&gt;B14,D14&gt;B14,E14&gt;B14),"Общая численность прошедших обучение и (или) проверку знания руководителей структурных подразделений, главных специалистов и их заместителей (" &amp; MAX(C14:E14) &amp; " чел.), больше численности всех руководителей структурных подразделений, главных специалистов и их заместителей (" &amp; B14 &amp; " чел.)!"," ")</f>
        <v xml:space="preserve"> </v>
      </c>
      <c r="B84" s="477"/>
      <c r="C84" s="477"/>
      <c r="D84" s="477"/>
      <c r="E84" s="477"/>
      <c r="H84" s="1" t="s">
        <v>549</v>
      </c>
    </row>
    <row r="85" spans="1:9" ht="54" customHeight="1">
      <c r="A85" s="477" t="str">
        <f>IF(OR(I15=TRUE,I16=TRUE,I17=TRUE),"Численность прошедших обучение и (или) проверку знания руководителей структурных подразделений, главных специалистов и их заместителей с обозначенным полномочием (" &amp; MAX(S15:S17) &amp; " чел.), больше численности всех руководителей структурных подразделений, главных специалистов и их заместителей с таким же полномочием (" &amp; CHOOSE(MATCH(MAX(S15:S17),S15:S17,FALSE),B15,B16,B17) &amp; " чел.)!"," ")</f>
        <v xml:space="preserve"> </v>
      </c>
      <c r="B85" s="477"/>
      <c r="C85" s="477"/>
      <c r="D85" s="477"/>
      <c r="E85" s="477"/>
      <c r="H85" s="1" t="s">
        <v>550</v>
      </c>
    </row>
    <row r="86" spans="1:9" ht="41.25" customHeight="1">
      <c r="A86" s="477" t="str">
        <f>IF(OR(C18&gt;B18,D18&gt;B18,E18&gt;B18),"Общая численность прошедших обучение и (или) проверку знания специалистов (кроме по охране труда) (" &amp; MAX(C18:E18) &amp; " чел.), больше численности всех специалистов (кроме по охране труда) (" &amp; B18 &amp; " чел.)!"," ")</f>
        <v xml:space="preserve"> </v>
      </c>
      <c r="B86" s="477"/>
      <c r="C86" s="477"/>
      <c r="D86" s="477"/>
      <c r="E86" s="477"/>
      <c r="H86" s="1" t="s">
        <v>551</v>
      </c>
    </row>
    <row r="87" spans="1:9" ht="41.25" customHeight="1">
      <c r="A87" s="477" t="str">
        <f>IF(OR(I19=TRUE,I20=TRUE,I21=TRUE,I22=TRUE),"Численность прошедших обучение и (или) проверку знания специалистов (кроме по охране труда) с обозначенным полномочием (" &amp; MAX(C19:E22) &amp; " чел.), больше численности всех специалистов (кроме по охране труда) с таким же полномочием (" &amp; CHOOSE(MATCH(MAX(S19:S22),S19:S22,FALSE),B19,B20,B21,B22) &amp; " чел.)!"," ")</f>
        <v xml:space="preserve"> </v>
      </c>
      <c r="B87" s="477"/>
      <c r="C87" s="477"/>
      <c r="D87" s="477"/>
      <c r="E87" s="477"/>
      <c r="G87" s="1"/>
      <c r="H87" s="1" t="s">
        <v>552</v>
      </c>
    </row>
    <row r="88" spans="1:9" ht="41.25" customHeight="1">
      <c r="A88" s="477" t="str">
        <f>IF(OR(C23&gt;B23,D23&gt;B23,E23&gt;B23),"Общая численность прошедших обучение и (или) проверку знания специалистов по охране труда (" &amp; MAX(C23:E23) &amp; " чел.), больше численности всех специалистов по охране труда в категории обучаемых (" &amp; B23 &amp; " чел.)!"," ")</f>
        <v xml:space="preserve"> </v>
      </c>
      <c r="B88" s="477"/>
      <c r="C88" s="477"/>
      <c r="D88" s="477"/>
      <c r="E88" s="477"/>
      <c r="H88" s="1" t="s">
        <v>553</v>
      </c>
    </row>
    <row r="89" spans="1:9" ht="41.25" customHeight="1">
      <c r="A89" s="477" t="str">
        <f>IF(OR(I24=TRUE,I25=TRUE,I26=TRUE,I27=TRUE),"Численность прошедших обучение и (или) проверку знания специалистов по охране труда с обозначенным полномочием (" &amp; MAX(C24:E27) &amp; " чел.), больше численности всех специалистов по охране труда с таким же полномочием (" &amp; CHOOSE(MATCH(MAX(S24:S27),S24:S27,FALSE),B24,B25,B26,B27) &amp; " чел.)!"," ")</f>
        <v xml:space="preserve"> </v>
      </c>
      <c r="B89" s="477"/>
      <c r="C89" s="477"/>
      <c r="D89" s="477"/>
      <c r="E89" s="477"/>
      <c r="H89" s="1" t="s">
        <v>554</v>
      </c>
    </row>
    <row r="90" spans="1:9" ht="30" customHeight="1">
      <c r="A90" s="477" t="str">
        <f>IF(OR(C28&gt;B28,D28&gt;B28,E28&gt;B28),"Общая численность прошедших обучение и (или) проверку знания рабочих (" &amp; MAX(C28:E28) &amp; " чел.), больше численности всех рабочих (" &amp; B28 &amp; " чел.)!"," ")</f>
        <v xml:space="preserve"> </v>
      </c>
      <c r="B90" s="477"/>
      <c r="C90" s="477"/>
      <c r="D90" s="477"/>
      <c r="E90" s="477"/>
      <c r="H90" s="1" t="s">
        <v>555</v>
      </c>
      <c r="I90" s="107"/>
    </row>
    <row r="91" spans="1:9" ht="41.25" customHeight="1">
      <c r="A91" s="477" t="str">
        <f>IF(OR(I29=TRUE,I30=TRUE,I31=TRUE),"Численность прошедших обучение и (или) проверку знания рабочих с обозначенным полномочием (" &amp; MAX(C29:E31) &amp; " чел.), больше численности всех рабочих с таким же полномочием (" &amp; CHOOSE(MATCH(MAX(S29:S31),S29:S31,FALSE),B29,B30,B31) &amp; " чел.)!"," ")</f>
        <v xml:space="preserve"> </v>
      </c>
      <c r="B91" s="477"/>
      <c r="C91" s="477"/>
      <c r="D91" s="477"/>
      <c r="E91" s="477"/>
      <c r="H91" s="1" t="s">
        <v>556</v>
      </c>
    </row>
    <row r="92" spans="1:9" ht="41.25" customHeight="1">
      <c r="A92" s="477" t="str">
        <f>IF(B10+B14+B18+B23+B28+1-Титул!C11&lt;0,"Численность категории обучаемых (" &amp; B10+B14+B18+B23+B28+1 &amp; " чел.), меньше численности работников вместе с работодателем (" &amp; Титул!C11 &amp; " чел.) − отсутствуют сведения о " &amp; ABS(B10+B14+B18+B23+B28+1-Титул!C11) &amp; " работниках организации!"," ")</f>
        <v xml:space="preserve"> </v>
      </c>
      <c r="B92" s="477"/>
      <c r="C92" s="477"/>
      <c r="D92" s="477"/>
      <c r="E92" s="477"/>
      <c r="H92" s="1" t="s">
        <v>557</v>
      </c>
    </row>
    <row r="93" spans="1:9" ht="41.25" customHeight="1">
      <c r="A93" s="477" t="str">
        <f>IF(O6&lt;&gt;0,"Численность специалистов по охране труда среди категории обучаемых (" &amp; B23 &amp; " чел.) не соответствует численности специалистов по охране труда
в организации (" &amp; N6 &amp; " чел.)!"," ")</f>
        <v xml:space="preserve"> </v>
      </c>
      <c r="B93" s="477"/>
      <c r="C93" s="477"/>
      <c r="D93" s="477"/>
      <c r="E93" s="477"/>
      <c r="H93" s="1" t="s">
        <v>558</v>
      </c>
    </row>
    <row r="94" spans="1:9" ht="41.25" customHeight="1">
      <c r="A94" s="477" t="str">
        <f>IF(I23=FALSE," ","Численность специалистов по охране труда среди категории обучаемых (" &amp; Обучение!B23 &amp; " чел.) не соответствует численности специалистов по охране труда
в организации (" &amp; СлужбаОТ!I8 &amp; " чел.)!")</f>
        <v xml:space="preserve"> </v>
      </c>
      <c r="B94" s="477"/>
      <c r="C94" s="477"/>
      <c r="D94" s="477"/>
      <c r="E94" s="477"/>
      <c r="H94" s="1" t="s">
        <v>567</v>
      </c>
    </row>
    <row r="95" spans="1:9" ht="26.25" customHeight="1">
      <c r="A95" s="478" t="s">
        <v>402</v>
      </c>
      <c r="B95" s="478"/>
      <c r="C95" s="478"/>
      <c r="D95" s="478"/>
      <c r="E95" s="478"/>
      <c r="H95" s="1" t="str">
        <f>TRIM(A43)</f>
        <v/>
      </c>
    </row>
    <row r="96" spans="1:9" ht="14.25" customHeight="1">
      <c r="H96" s="1" t="str">
        <f>TRIM(A44)</f>
        <v/>
      </c>
    </row>
  </sheetData>
  <sheetProtection password="CE28" sheet="1" objects="1" scenarios="1" selectLockedCells="1"/>
  <mergeCells count="65">
    <mergeCell ref="A85:E85"/>
    <mergeCell ref="A80:E80"/>
    <mergeCell ref="A78:E78"/>
    <mergeCell ref="A83:E83"/>
    <mergeCell ref="A84:E84"/>
    <mergeCell ref="A75:E75"/>
    <mergeCell ref="A76:E76"/>
    <mergeCell ref="A81:E81"/>
    <mergeCell ref="A82:E82"/>
    <mergeCell ref="A40:E40"/>
    <mergeCell ref="A49:E49"/>
    <mergeCell ref="A72:E72"/>
    <mergeCell ref="A73:E73"/>
    <mergeCell ref="A74:E74"/>
    <mergeCell ref="A69:E69"/>
    <mergeCell ref="A71:E71"/>
    <mergeCell ref="A64:E64"/>
    <mergeCell ref="A65:E65"/>
    <mergeCell ref="A66:E66"/>
    <mergeCell ref="A61:E61"/>
    <mergeCell ref="A68:E68"/>
    <mergeCell ref="A70:E70"/>
    <mergeCell ref="A67:E67"/>
    <mergeCell ref="A63:E63"/>
    <mergeCell ref="A62:E62"/>
    <mergeCell ref="A34:E34"/>
    <mergeCell ref="A36:E36"/>
    <mergeCell ref="A53:E53"/>
    <mergeCell ref="A58:E58"/>
    <mergeCell ref="A59:E59"/>
    <mergeCell ref="A52:E52"/>
    <mergeCell ref="A47:E47"/>
    <mergeCell ref="A43:E43"/>
    <mergeCell ref="A48:E48"/>
    <mergeCell ref="A38:E38"/>
    <mergeCell ref="A42:E42"/>
    <mergeCell ref="A56:E56"/>
    <mergeCell ref="A44:E44"/>
    <mergeCell ref="A45:E45"/>
    <mergeCell ref="A51:E51"/>
    <mergeCell ref="A50:E50"/>
    <mergeCell ref="A1:E1"/>
    <mergeCell ref="A3:A5"/>
    <mergeCell ref="A33:E33"/>
    <mergeCell ref="A32:E32"/>
    <mergeCell ref="B3:B5"/>
    <mergeCell ref="C3:E3"/>
    <mergeCell ref="C4:D4"/>
    <mergeCell ref="E4:E5"/>
    <mergeCell ref="A57:E57"/>
    <mergeCell ref="A54:E54"/>
    <mergeCell ref="A55:E55"/>
    <mergeCell ref="A95:E95"/>
    <mergeCell ref="A87:E87"/>
    <mergeCell ref="A88:E88"/>
    <mergeCell ref="A89:E89"/>
    <mergeCell ref="A90:E90"/>
    <mergeCell ref="A92:E92"/>
    <mergeCell ref="A94:E94"/>
    <mergeCell ref="A93:E93"/>
    <mergeCell ref="A91:E91"/>
    <mergeCell ref="A60:E60"/>
    <mergeCell ref="A77:E77"/>
    <mergeCell ref="A79:E79"/>
    <mergeCell ref="A86:E86"/>
  </mergeCells>
  <phoneticPr fontId="41" type="noConversion"/>
  <conditionalFormatting sqref="B10:B31">
    <cfRule type="expression" dxfId="159" priority="19" stopIfTrue="1">
      <formula>G10=TRUE</formula>
    </cfRule>
    <cfRule type="expression" dxfId="158" priority="20" stopIfTrue="1">
      <formula>H10=TRUE</formula>
    </cfRule>
    <cfRule type="expression" dxfId="157" priority="21" stopIfTrue="1">
      <formula>I10=TRUE</formula>
    </cfRule>
  </conditionalFormatting>
  <conditionalFormatting sqref="C10:C31">
    <cfRule type="expression" dxfId="156" priority="22" stopIfTrue="1">
      <formula>J10=TRUE</formula>
    </cfRule>
    <cfRule type="expression" dxfId="155" priority="23" stopIfTrue="1">
      <formula>K10=TRUE</formula>
    </cfRule>
    <cfRule type="expression" dxfId="154" priority="24" stopIfTrue="1">
      <formula>L10=TRUE</formula>
    </cfRule>
  </conditionalFormatting>
  <conditionalFormatting sqref="D10:D31">
    <cfRule type="expression" dxfId="153" priority="25" stopIfTrue="1">
      <formula>M10=TRUE</formula>
    </cfRule>
    <cfRule type="expression" dxfId="152" priority="26" stopIfTrue="1">
      <formula>N10=TRUE</formula>
    </cfRule>
    <cfRule type="expression" dxfId="151" priority="27" stopIfTrue="1">
      <formula>O10=TRUE</formula>
    </cfRule>
  </conditionalFormatting>
  <conditionalFormatting sqref="E10:E31">
    <cfRule type="expression" dxfId="150" priority="28" stopIfTrue="1">
      <formula>P10=TRUE</formula>
    </cfRule>
    <cfRule type="expression" dxfId="149" priority="29" stopIfTrue="1">
      <formula>Q10=TRUE</formula>
    </cfRule>
    <cfRule type="expression" dxfId="148" priority="30" stopIfTrue="1">
      <formula>R10=TRUE</formula>
    </cfRule>
  </conditionalFormatting>
  <conditionalFormatting sqref="A95:E95">
    <cfRule type="expression" dxfId="147" priority="31" stopIfTrue="1">
      <formula>G47&gt;0</formula>
    </cfRule>
  </conditionalFormatting>
  <conditionalFormatting sqref="A36:E36 A38:E38 A40:E40 A34:E34">
    <cfRule type="expression" dxfId="146" priority="13" stopIfTrue="1">
      <formula>LEN(TRIM(A34))=0</formula>
    </cfRule>
  </conditionalFormatting>
  <conditionalFormatting sqref="A23">
    <cfRule type="expression" dxfId="145" priority="46" stopIfTrue="1">
      <formula>L6&lt;0</formula>
    </cfRule>
    <cfRule type="expression" dxfId="144" priority="47" stopIfTrue="1">
      <formula>O6&lt;&gt;0</formula>
    </cfRule>
  </conditionalFormatting>
  <conditionalFormatting sqref="A43:E44">
    <cfRule type="expression" dxfId="143" priority="48" stopIfTrue="1">
      <formula>ISBLANK(A43)</formula>
    </cfRule>
  </conditionalFormatting>
  <conditionalFormatting sqref="A14">
    <cfRule type="expression" dxfId="142" priority="49" stopIfTrue="1">
      <formula>L6&lt;0</formula>
    </cfRule>
  </conditionalFormatting>
  <conditionalFormatting sqref="A10">
    <cfRule type="expression" dxfId="141" priority="50" stopIfTrue="1">
      <formula>L6&lt;0</formula>
    </cfRule>
  </conditionalFormatting>
  <conditionalFormatting sqref="A18">
    <cfRule type="expression" dxfId="140" priority="51" stopIfTrue="1">
      <formula>L6&lt;0</formula>
    </cfRule>
  </conditionalFormatting>
  <conditionalFormatting sqref="A28">
    <cfRule type="expression" dxfId="139" priority="54" stopIfTrue="1">
      <formula>L6&lt;0</formula>
    </cfRule>
  </conditionalFormatting>
  <conditionalFormatting sqref="A47:E47">
    <cfRule type="expression" dxfId="138" priority="55" stopIfTrue="1">
      <formula>G47&gt;0</formula>
    </cfRule>
  </conditionalFormatting>
  <dataValidations count="3">
    <dataValidation type="whole" operator="greaterThanOrEqual" allowBlank="1" showErrorMessage="1" errorTitle="ВНИМАНИЕ!" error="Введено недопустимое значение!" sqref="B10:F31">
      <formula1>0</formula1>
    </dataValidation>
    <dataValidation type="list" allowBlank="1" showInputMessage="1" showErrorMessage="1" sqref="A34:E34 A36:E36 A38:E38 A40:E40">
      <formula1>List2</formula1>
    </dataValidation>
    <dataValidation type="list" allowBlank="1" showInputMessage="1" showErrorMessage="1" prompt="Выберите из списка" sqref="C6:E6 B7 B8 B9">
      <formula1>$G$4:$H$4</formula1>
    </dataValidation>
  </dataValidations>
  <printOptions horizontalCentered="1"/>
  <pageMargins left="0.59055118110236227" right="0.59055118110236227" top="0.59055118110236227" bottom="0.59055118110236227" header="0.51181102362204722" footer="0.51181102362204722"/>
  <pageSetup paperSize="9" scale="70" orientation="portrait" blackAndWhite="1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16"/>
  </sheetPr>
  <dimension ref="A1:BT69"/>
  <sheetViews>
    <sheetView showGridLines="0" showRowColHeaders="0" showZeros="0" topLeftCell="A7" zoomScale="125" workbookViewId="0">
      <selection activeCell="F8" sqref="F8:W8"/>
    </sheetView>
  </sheetViews>
  <sheetFormatPr defaultRowHeight="15.75"/>
  <cols>
    <col min="1" max="36" width="2.5703125" style="131" customWidth="1"/>
    <col min="37" max="37" width="2.5703125" style="131" hidden="1" customWidth="1"/>
    <col min="38" max="50" width="2.5703125" style="142" hidden="1" customWidth="1"/>
    <col min="51" max="56" width="2.5703125" style="325" customWidth="1"/>
    <col min="57" max="72" width="2.5703125" style="142" customWidth="1"/>
  </cols>
  <sheetData>
    <row r="1" spans="1:72" ht="75" customHeight="1">
      <c r="A1" s="550" t="s">
        <v>476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</row>
    <row r="2" spans="1:72" ht="2.1" customHeight="1" thickBot="1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</row>
    <row r="3" spans="1:72" s="129" customFormat="1" ht="36" customHeight="1">
      <c r="A3" s="153"/>
      <c r="B3" s="521" t="s">
        <v>465</v>
      </c>
      <c r="C3" s="522"/>
      <c r="D3" s="522"/>
      <c r="E3" s="522"/>
      <c r="F3" s="522" t="s">
        <v>480</v>
      </c>
      <c r="G3" s="522"/>
      <c r="H3" s="522"/>
      <c r="I3" s="522"/>
      <c r="J3" s="522"/>
      <c r="K3" s="522"/>
      <c r="L3" s="522" t="s">
        <v>479</v>
      </c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2"/>
      <c r="AI3" s="547"/>
      <c r="AJ3" s="153"/>
      <c r="AK3" s="130"/>
      <c r="AL3" s="143">
        <f>Титул!C9</f>
        <v>47</v>
      </c>
      <c r="AM3" s="143">
        <f>Титул!C11</f>
        <v>61</v>
      </c>
      <c r="AN3" s="143">
        <f>Титул!C12</f>
        <v>55</v>
      </c>
      <c r="AO3" s="143">
        <f>Титул!C13</f>
        <v>0</v>
      </c>
      <c r="AP3" s="143">
        <f>Титул!C14</f>
        <v>0</v>
      </c>
      <c r="AQ3" s="143">
        <f>SUM(F6:K13)</f>
        <v>47</v>
      </c>
      <c r="AR3" s="143">
        <f>SUM(L6:Q13)</f>
        <v>61</v>
      </c>
      <c r="AS3" s="143">
        <f>SUM(R6:W13)</f>
        <v>55</v>
      </c>
      <c r="AT3" s="143">
        <f>SUM(X6:AC13)</f>
        <v>0</v>
      </c>
      <c r="AU3" s="143">
        <f>SUM(AD6:AI13)</f>
        <v>0</v>
      </c>
      <c r="AV3" s="144"/>
      <c r="AW3" s="144"/>
      <c r="AX3" s="144"/>
      <c r="AY3" s="326"/>
      <c r="AZ3" s="326"/>
      <c r="BA3" s="326"/>
      <c r="BB3" s="326"/>
      <c r="BC3" s="326"/>
      <c r="BD3" s="326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</row>
    <row r="4" spans="1:72" s="129" customFormat="1" ht="18" customHeight="1">
      <c r="A4" s="153"/>
      <c r="B4" s="523"/>
      <c r="C4" s="524"/>
      <c r="D4" s="524"/>
      <c r="E4" s="524"/>
      <c r="F4" s="524"/>
      <c r="G4" s="524"/>
      <c r="H4" s="524"/>
      <c r="I4" s="524"/>
      <c r="J4" s="524"/>
      <c r="K4" s="524"/>
      <c r="L4" s="524" t="s">
        <v>112</v>
      </c>
      <c r="M4" s="524"/>
      <c r="N4" s="524"/>
      <c r="O4" s="524"/>
      <c r="P4" s="524"/>
      <c r="Q4" s="524"/>
      <c r="R4" s="524" t="s">
        <v>467</v>
      </c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48"/>
      <c r="AJ4" s="153"/>
      <c r="AK4" s="130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326"/>
      <c r="AZ4" s="326"/>
      <c r="BA4" s="326"/>
      <c r="BB4" s="326"/>
      <c r="BC4" s="326"/>
      <c r="BD4" s="326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</row>
    <row r="5" spans="1:72" s="129" customFormat="1" ht="41.25" customHeight="1" thickBot="1">
      <c r="A5" s="153"/>
      <c r="B5" s="525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 t="s">
        <v>212</v>
      </c>
      <c r="S5" s="526"/>
      <c r="T5" s="526"/>
      <c r="U5" s="526"/>
      <c r="V5" s="526"/>
      <c r="W5" s="526"/>
      <c r="X5" s="526" t="s">
        <v>125</v>
      </c>
      <c r="Y5" s="526"/>
      <c r="Z5" s="526"/>
      <c r="AA5" s="526"/>
      <c r="AB5" s="526"/>
      <c r="AC5" s="526"/>
      <c r="AD5" s="526" t="s">
        <v>214</v>
      </c>
      <c r="AE5" s="526"/>
      <c r="AF5" s="526"/>
      <c r="AG5" s="526"/>
      <c r="AH5" s="526"/>
      <c r="AI5" s="549"/>
      <c r="AJ5" s="153"/>
      <c r="AK5" s="130"/>
      <c r="AL5" s="159"/>
      <c r="AM5" s="159"/>
      <c r="AN5" s="159"/>
      <c r="AO5" s="159"/>
      <c r="AP5" s="159"/>
      <c r="AQ5" s="159"/>
      <c r="AR5" s="159"/>
      <c r="AS5" s="159"/>
      <c r="AT5" s="159"/>
      <c r="AU5" s="144"/>
      <c r="AV5" s="144"/>
      <c r="AW5" s="144"/>
      <c r="AX5" s="144"/>
      <c r="AY5" s="326"/>
      <c r="AZ5" s="326"/>
      <c r="BA5" s="326"/>
      <c r="BB5" s="326"/>
      <c r="BC5" s="326"/>
      <c r="BD5" s="326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</row>
    <row r="6" spans="1:72" s="129" customFormat="1" ht="21" customHeight="1">
      <c r="A6" s="153"/>
      <c r="B6" s="570" t="s">
        <v>487</v>
      </c>
      <c r="C6" s="571"/>
      <c r="D6" s="571"/>
      <c r="E6" s="572"/>
      <c r="F6" s="573"/>
      <c r="G6" s="574"/>
      <c r="H6" s="574"/>
      <c r="I6" s="574"/>
      <c r="J6" s="574"/>
      <c r="K6" s="575"/>
      <c r="L6" s="576"/>
      <c r="M6" s="574"/>
      <c r="N6" s="574"/>
      <c r="O6" s="574"/>
      <c r="P6" s="574"/>
      <c r="Q6" s="577"/>
      <c r="R6" s="573"/>
      <c r="S6" s="574"/>
      <c r="T6" s="574"/>
      <c r="U6" s="574"/>
      <c r="V6" s="574"/>
      <c r="W6" s="575"/>
      <c r="X6" s="573"/>
      <c r="Y6" s="574"/>
      <c r="Z6" s="574"/>
      <c r="AA6" s="574"/>
      <c r="AB6" s="574"/>
      <c r="AC6" s="575"/>
      <c r="AD6" s="576"/>
      <c r="AE6" s="574"/>
      <c r="AF6" s="574"/>
      <c r="AG6" s="574"/>
      <c r="AH6" s="574"/>
      <c r="AI6" s="578"/>
      <c r="AJ6" s="153"/>
      <c r="AK6" s="130"/>
      <c r="AL6" s="159" t="b">
        <f>AND(F6&lt;=$AL$3,$AL$14&gt;=0)</f>
        <v>1</v>
      </c>
      <c r="AM6" s="159" t="b">
        <f>AND(L6&lt;=$AM$3,$AM$14&gt;=0,AT6=FALSE)</f>
        <v>1</v>
      </c>
      <c r="AN6" s="159" t="b">
        <f>AND(R6&lt;=$AN$3,$AN$14&gt;=0,AT6=FALSE)</f>
        <v>1</v>
      </c>
      <c r="AO6" s="159" t="b">
        <f>AND(X6&lt;=$AO$3,$AO$14&gt;=0,AT6=FALSE)</f>
        <v>1</v>
      </c>
      <c r="AP6" s="159" t="b">
        <f>AND(AD6&lt;=$AP$3,$AP$14&gt;=0,AT6=FALSE)</f>
        <v>1</v>
      </c>
      <c r="AQ6" s="159" t="b">
        <f>R6&gt;L6</f>
        <v>0</v>
      </c>
      <c r="AR6" s="159" t="b">
        <f>X6&gt;L6</f>
        <v>0</v>
      </c>
      <c r="AS6" s="159" t="b">
        <f>AD6&gt;L6</f>
        <v>0</v>
      </c>
      <c r="AT6" s="159" t="b">
        <f>AND(F6=0,(L6+R6+X6+AD6)&gt;F6)</f>
        <v>0</v>
      </c>
      <c r="AU6" s="159" t="b">
        <f>IF(AND($AL$3=$AQ$3,AM6=TRUE),$AM$3=$AR$3,TRUE)</f>
        <v>1</v>
      </c>
      <c r="AV6" s="159" t="b">
        <f>IF(AND($AL$3=$AQ$3,AN6=TRUE),$AN$3=$AS$3,TRUE)</f>
        <v>1</v>
      </c>
      <c r="AW6" s="159" t="b">
        <f>IF(AND($AL$3=$AQ$3,AO6=TRUE),$AO$3=$AT$3,TRUE)</f>
        <v>1</v>
      </c>
      <c r="AX6" s="159" t="b">
        <f>IF(AND($AL$3=$AQ$3,AP6=TRUE),$AP$3=$AU$3,TRUE)</f>
        <v>1</v>
      </c>
      <c r="AY6" s="327"/>
      <c r="AZ6" s="327"/>
      <c r="BA6" s="327"/>
      <c r="BB6" s="327"/>
      <c r="BC6" s="327"/>
      <c r="BD6" s="327"/>
      <c r="BE6" s="159"/>
      <c r="BF6" s="159"/>
      <c r="BG6" s="159"/>
      <c r="BH6" s="159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</row>
    <row r="7" spans="1:72" ht="21" customHeight="1">
      <c r="A7" s="148"/>
      <c r="B7" s="527">
        <v>1</v>
      </c>
      <c r="C7" s="528"/>
      <c r="D7" s="528"/>
      <c r="E7" s="529"/>
      <c r="F7" s="535"/>
      <c r="G7" s="536"/>
      <c r="H7" s="536"/>
      <c r="I7" s="536"/>
      <c r="J7" s="536"/>
      <c r="K7" s="537"/>
      <c r="L7" s="538"/>
      <c r="M7" s="536"/>
      <c r="N7" s="536"/>
      <c r="O7" s="536"/>
      <c r="P7" s="536"/>
      <c r="Q7" s="545"/>
      <c r="R7" s="535"/>
      <c r="S7" s="536"/>
      <c r="T7" s="536"/>
      <c r="U7" s="536"/>
      <c r="V7" s="536"/>
      <c r="W7" s="537"/>
      <c r="X7" s="535"/>
      <c r="Y7" s="536"/>
      <c r="Z7" s="536"/>
      <c r="AA7" s="536"/>
      <c r="AB7" s="536"/>
      <c r="AC7" s="537"/>
      <c r="AD7" s="538"/>
      <c r="AE7" s="536"/>
      <c r="AF7" s="536"/>
      <c r="AG7" s="536"/>
      <c r="AH7" s="536"/>
      <c r="AI7" s="539"/>
      <c r="AJ7" s="149"/>
      <c r="AK7" s="145"/>
      <c r="AL7" s="159" t="b">
        <f>AND(F7&lt;=$AL$3,$AL$14&gt;=0)</f>
        <v>1</v>
      </c>
      <c r="AM7" s="159" t="b">
        <f>AND(L7&lt;=$AM$3,$AM$14&gt;=0,AT7=FALSE)</f>
        <v>1</v>
      </c>
      <c r="AN7" s="159" t="b">
        <f t="shared" ref="AN7:AN13" si="0">AND(R7&lt;=$AN$3,$AN$14&gt;=0,AT7=FALSE)</f>
        <v>1</v>
      </c>
      <c r="AO7" s="159" t="b">
        <f>AND(X7&lt;=$AO$3,$AO$14&gt;=0,AT7=FALSE)</f>
        <v>1</v>
      </c>
      <c r="AP7" s="159" t="b">
        <f>AND(AD7&lt;=$AP$3,$AP$14&gt;=0,AT7=FALSE)</f>
        <v>1</v>
      </c>
      <c r="AQ7" s="159" t="b">
        <f>R7&gt;L7</f>
        <v>0</v>
      </c>
      <c r="AR7" s="159" t="b">
        <f>X7&gt;L7</f>
        <v>0</v>
      </c>
      <c r="AS7" s="159" t="b">
        <f>AD7&gt;L7</f>
        <v>0</v>
      </c>
      <c r="AT7" s="159" t="b">
        <f t="shared" ref="AT7:AT13" si="1">AND(F7=0,(L7+R7+X7+AD7)&gt;F7)</f>
        <v>0</v>
      </c>
      <c r="AU7" s="159" t="b">
        <f t="shared" ref="AU7:AU13" si="2">IF(AND($AL$3=$AQ$3,AM7=TRUE),$AM$3=$AR$3,TRUE)</f>
        <v>1</v>
      </c>
      <c r="AV7" s="159" t="b">
        <f t="shared" ref="AV7:AV13" si="3">IF(AND($AL$3=$AQ$3,AN7=TRUE),$AN$3=$AS$3,TRUE)</f>
        <v>1</v>
      </c>
      <c r="AW7" s="159" t="b">
        <f t="shared" ref="AW7:AW13" si="4">IF(AND($AL$3=$AQ$3,AO7=TRUE),$AO$3=$AT$3,TRUE)</f>
        <v>1</v>
      </c>
      <c r="AX7" s="159" t="b">
        <f t="shared" ref="AX7:AX13" si="5">IF(AND($AL$3=$AQ$3,AP7=TRUE),$AP$3=$AU$3,TRUE)</f>
        <v>1</v>
      </c>
      <c r="AY7" s="327"/>
      <c r="AZ7" s="327"/>
      <c r="BA7" s="327"/>
      <c r="BB7" s="327"/>
      <c r="BC7" s="327"/>
      <c r="BD7" s="327"/>
      <c r="BE7" s="159"/>
      <c r="BF7" s="159"/>
      <c r="BG7" s="159"/>
      <c r="BH7" s="159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</row>
    <row r="8" spans="1:72" ht="21" customHeight="1">
      <c r="A8" s="148"/>
      <c r="B8" s="530">
        <v>2</v>
      </c>
      <c r="C8" s="531"/>
      <c r="D8" s="531"/>
      <c r="E8" s="532"/>
      <c r="F8" s="540">
        <v>9</v>
      </c>
      <c r="G8" s="541"/>
      <c r="H8" s="541"/>
      <c r="I8" s="541"/>
      <c r="J8" s="541"/>
      <c r="K8" s="542"/>
      <c r="L8" s="543">
        <v>12</v>
      </c>
      <c r="M8" s="541"/>
      <c r="N8" s="541"/>
      <c r="O8" s="541"/>
      <c r="P8" s="541"/>
      <c r="Q8" s="544"/>
      <c r="R8" s="540">
        <v>7</v>
      </c>
      <c r="S8" s="541"/>
      <c r="T8" s="541"/>
      <c r="U8" s="541"/>
      <c r="V8" s="541"/>
      <c r="W8" s="542"/>
      <c r="X8" s="540"/>
      <c r="Y8" s="541"/>
      <c r="Z8" s="541"/>
      <c r="AA8" s="541"/>
      <c r="AB8" s="541"/>
      <c r="AC8" s="542"/>
      <c r="AD8" s="543"/>
      <c r="AE8" s="541"/>
      <c r="AF8" s="541"/>
      <c r="AG8" s="541"/>
      <c r="AH8" s="541"/>
      <c r="AI8" s="546"/>
      <c r="AJ8" s="149"/>
      <c r="AK8" s="147"/>
      <c r="AL8" s="159" t="b">
        <f t="shared" ref="AL8:AL13" si="6">AND(F8&lt;=$AL$3,$AL$14&gt;=0)</f>
        <v>1</v>
      </c>
      <c r="AM8" s="159" t="b">
        <f t="shared" ref="AM8:AM13" si="7">AND(L8&lt;=$AM$3,$AM$14&gt;=0,AT8=FALSE)</f>
        <v>1</v>
      </c>
      <c r="AN8" s="159" t="b">
        <f t="shared" si="0"/>
        <v>1</v>
      </c>
      <c r="AO8" s="159" t="b">
        <f t="shared" ref="AO8:AO13" si="8">AND(X8&lt;=$AO$3,$AO$14&gt;=0,AT8=FALSE)</f>
        <v>1</v>
      </c>
      <c r="AP8" s="159" t="b">
        <f t="shared" ref="AP8:AP13" si="9">AND(AD8&lt;=$AP$3,$AP$14&gt;=0,AT8=FALSE)</f>
        <v>1</v>
      </c>
      <c r="AQ8" s="159" t="b">
        <f t="shared" ref="AQ8:AQ13" si="10">R8&gt;L8</f>
        <v>0</v>
      </c>
      <c r="AR8" s="159" t="b">
        <f t="shared" ref="AR8:AR13" si="11">X8&gt;L8</f>
        <v>0</v>
      </c>
      <c r="AS8" s="159" t="b">
        <f t="shared" ref="AS8:AS13" si="12">AD8&gt;L8</f>
        <v>0</v>
      </c>
      <c r="AT8" s="159" t="b">
        <f t="shared" si="1"/>
        <v>0</v>
      </c>
      <c r="AU8" s="159" t="b">
        <f t="shared" si="2"/>
        <v>1</v>
      </c>
      <c r="AV8" s="159" t="b">
        <f t="shared" si="3"/>
        <v>1</v>
      </c>
      <c r="AW8" s="159" t="b">
        <f t="shared" si="4"/>
        <v>1</v>
      </c>
      <c r="AX8" s="159" t="b">
        <f t="shared" si="5"/>
        <v>1</v>
      </c>
      <c r="AY8" s="327"/>
      <c r="AZ8" s="327"/>
      <c r="BA8" s="327"/>
      <c r="BB8" s="327"/>
      <c r="BC8" s="327"/>
      <c r="BD8" s="327"/>
      <c r="BE8" s="159"/>
      <c r="BF8" s="159"/>
      <c r="BG8" s="159"/>
      <c r="BH8" s="159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</row>
    <row r="9" spans="1:72" ht="21" customHeight="1">
      <c r="A9" s="148"/>
      <c r="B9" s="527" t="s">
        <v>218</v>
      </c>
      <c r="C9" s="528"/>
      <c r="D9" s="528"/>
      <c r="E9" s="529"/>
      <c r="F9" s="535">
        <v>32</v>
      </c>
      <c r="G9" s="536"/>
      <c r="H9" s="536"/>
      <c r="I9" s="536"/>
      <c r="J9" s="536"/>
      <c r="K9" s="537"/>
      <c r="L9" s="538">
        <v>42</v>
      </c>
      <c r="M9" s="536"/>
      <c r="N9" s="536"/>
      <c r="O9" s="536"/>
      <c r="P9" s="536"/>
      <c r="Q9" s="545"/>
      <c r="R9" s="535">
        <v>41</v>
      </c>
      <c r="S9" s="536"/>
      <c r="T9" s="536"/>
      <c r="U9" s="536"/>
      <c r="V9" s="536"/>
      <c r="W9" s="537"/>
      <c r="X9" s="535"/>
      <c r="Y9" s="536"/>
      <c r="Z9" s="536"/>
      <c r="AA9" s="536"/>
      <c r="AB9" s="536"/>
      <c r="AC9" s="537"/>
      <c r="AD9" s="538"/>
      <c r="AE9" s="536"/>
      <c r="AF9" s="536"/>
      <c r="AG9" s="536"/>
      <c r="AH9" s="536"/>
      <c r="AI9" s="539"/>
      <c r="AJ9" s="149"/>
      <c r="AK9" s="147"/>
      <c r="AL9" s="159" t="b">
        <f t="shared" si="6"/>
        <v>1</v>
      </c>
      <c r="AM9" s="159" t="b">
        <f t="shared" si="7"/>
        <v>1</v>
      </c>
      <c r="AN9" s="159" t="b">
        <f t="shared" si="0"/>
        <v>1</v>
      </c>
      <c r="AO9" s="159" t="b">
        <f t="shared" si="8"/>
        <v>1</v>
      </c>
      <c r="AP9" s="159" t="b">
        <f t="shared" si="9"/>
        <v>1</v>
      </c>
      <c r="AQ9" s="159" t="b">
        <f t="shared" si="10"/>
        <v>0</v>
      </c>
      <c r="AR9" s="159" t="b">
        <f t="shared" si="11"/>
        <v>0</v>
      </c>
      <c r="AS9" s="159" t="b">
        <f t="shared" si="12"/>
        <v>0</v>
      </c>
      <c r="AT9" s="159" t="b">
        <f t="shared" si="1"/>
        <v>0</v>
      </c>
      <c r="AU9" s="159" t="b">
        <f t="shared" si="2"/>
        <v>1</v>
      </c>
      <c r="AV9" s="159" t="b">
        <f t="shared" si="3"/>
        <v>1</v>
      </c>
      <c r="AW9" s="159" t="b">
        <f t="shared" si="4"/>
        <v>1</v>
      </c>
      <c r="AX9" s="159" t="b">
        <f t="shared" si="5"/>
        <v>1</v>
      </c>
      <c r="AY9" s="327"/>
      <c r="AZ9" s="327"/>
      <c r="BA9" s="327"/>
      <c r="BB9" s="327"/>
      <c r="BC9" s="327"/>
      <c r="BD9" s="327"/>
      <c r="BE9" s="159"/>
      <c r="BF9" s="159"/>
      <c r="BG9" s="159"/>
      <c r="BH9" s="159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</row>
    <row r="10" spans="1:72" ht="21" customHeight="1">
      <c r="A10" s="148"/>
      <c r="B10" s="507" t="s">
        <v>219</v>
      </c>
      <c r="C10" s="508"/>
      <c r="D10" s="508"/>
      <c r="E10" s="509"/>
      <c r="F10" s="519">
        <v>4</v>
      </c>
      <c r="G10" s="517"/>
      <c r="H10" s="517"/>
      <c r="I10" s="517"/>
      <c r="J10" s="517"/>
      <c r="K10" s="520"/>
      <c r="L10" s="516">
        <v>4</v>
      </c>
      <c r="M10" s="517"/>
      <c r="N10" s="517"/>
      <c r="O10" s="517"/>
      <c r="P10" s="517"/>
      <c r="Q10" s="518"/>
      <c r="R10" s="519">
        <v>4</v>
      </c>
      <c r="S10" s="517"/>
      <c r="T10" s="517"/>
      <c r="U10" s="517"/>
      <c r="V10" s="517"/>
      <c r="W10" s="520"/>
      <c r="X10" s="519"/>
      <c r="Y10" s="517"/>
      <c r="Z10" s="517"/>
      <c r="AA10" s="517"/>
      <c r="AB10" s="517"/>
      <c r="AC10" s="520"/>
      <c r="AD10" s="516"/>
      <c r="AE10" s="517"/>
      <c r="AF10" s="517"/>
      <c r="AG10" s="517"/>
      <c r="AH10" s="517"/>
      <c r="AI10" s="555"/>
      <c r="AJ10" s="149"/>
      <c r="AK10" s="147"/>
      <c r="AL10" s="159" t="b">
        <f t="shared" si="6"/>
        <v>1</v>
      </c>
      <c r="AM10" s="159" t="b">
        <f t="shared" si="7"/>
        <v>1</v>
      </c>
      <c r="AN10" s="159" t="b">
        <f t="shared" si="0"/>
        <v>1</v>
      </c>
      <c r="AO10" s="159" t="b">
        <f t="shared" si="8"/>
        <v>1</v>
      </c>
      <c r="AP10" s="159" t="b">
        <f t="shared" si="9"/>
        <v>1</v>
      </c>
      <c r="AQ10" s="159" t="b">
        <f t="shared" si="10"/>
        <v>0</v>
      </c>
      <c r="AR10" s="159" t="b">
        <f t="shared" si="11"/>
        <v>0</v>
      </c>
      <c r="AS10" s="159" t="b">
        <f t="shared" si="12"/>
        <v>0</v>
      </c>
      <c r="AT10" s="159" t="b">
        <f t="shared" si="1"/>
        <v>0</v>
      </c>
      <c r="AU10" s="159" t="b">
        <f t="shared" si="2"/>
        <v>1</v>
      </c>
      <c r="AV10" s="159" t="b">
        <f t="shared" si="3"/>
        <v>1</v>
      </c>
      <c r="AW10" s="159" t="b">
        <f t="shared" si="4"/>
        <v>1</v>
      </c>
      <c r="AX10" s="159" t="b">
        <f t="shared" si="5"/>
        <v>1</v>
      </c>
      <c r="AY10" s="327"/>
      <c r="AZ10" s="327"/>
      <c r="BA10" s="327"/>
      <c r="BB10" s="327"/>
      <c r="BC10" s="327"/>
      <c r="BD10" s="327"/>
      <c r="BE10" s="159"/>
      <c r="BF10" s="159"/>
      <c r="BG10" s="159"/>
      <c r="BH10" s="159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</row>
    <row r="11" spans="1:72" ht="21" customHeight="1">
      <c r="A11" s="148"/>
      <c r="B11" s="527" t="s">
        <v>220</v>
      </c>
      <c r="C11" s="528"/>
      <c r="D11" s="528"/>
      <c r="E11" s="529"/>
      <c r="F11" s="535">
        <v>2</v>
      </c>
      <c r="G11" s="536"/>
      <c r="H11" s="536"/>
      <c r="I11" s="536"/>
      <c r="J11" s="536"/>
      <c r="K11" s="537"/>
      <c r="L11" s="538">
        <v>3</v>
      </c>
      <c r="M11" s="536"/>
      <c r="N11" s="536"/>
      <c r="O11" s="536"/>
      <c r="P11" s="536"/>
      <c r="Q11" s="545"/>
      <c r="R11" s="535">
        <v>3</v>
      </c>
      <c r="S11" s="536"/>
      <c r="T11" s="536"/>
      <c r="U11" s="536"/>
      <c r="V11" s="536"/>
      <c r="W11" s="537"/>
      <c r="X11" s="535"/>
      <c r="Y11" s="536"/>
      <c r="Z11" s="536"/>
      <c r="AA11" s="536"/>
      <c r="AB11" s="536"/>
      <c r="AC11" s="537"/>
      <c r="AD11" s="538"/>
      <c r="AE11" s="536"/>
      <c r="AF11" s="536"/>
      <c r="AG11" s="536"/>
      <c r="AH11" s="536"/>
      <c r="AI11" s="539"/>
      <c r="AJ11" s="149"/>
      <c r="AK11" s="147"/>
      <c r="AL11" s="159" t="b">
        <f t="shared" si="6"/>
        <v>1</v>
      </c>
      <c r="AM11" s="159" t="b">
        <f t="shared" si="7"/>
        <v>1</v>
      </c>
      <c r="AN11" s="159" t="b">
        <f t="shared" si="0"/>
        <v>1</v>
      </c>
      <c r="AO11" s="159" t="b">
        <f t="shared" si="8"/>
        <v>1</v>
      </c>
      <c r="AP11" s="159" t="b">
        <f t="shared" si="9"/>
        <v>1</v>
      </c>
      <c r="AQ11" s="159" t="b">
        <f t="shared" si="10"/>
        <v>0</v>
      </c>
      <c r="AR11" s="159" t="b">
        <f t="shared" si="11"/>
        <v>0</v>
      </c>
      <c r="AS11" s="159" t="b">
        <f t="shared" si="12"/>
        <v>0</v>
      </c>
      <c r="AT11" s="159" t="b">
        <f t="shared" si="1"/>
        <v>0</v>
      </c>
      <c r="AU11" s="159" t="b">
        <f t="shared" si="2"/>
        <v>1</v>
      </c>
      <c r="AV11" s="159" t="b">
        <f t="shared" si="3"/>
        <v>1</v>
      </c>
      <c r="AW11" s="159" t="b">
        <f t="shared" si="4"/>
        <v>1</v>
      </c>
      <c r="AX11" s="159" t="b">
        <f t="shared" si="5"/>
        <v>1</v>
      </c>
      <c r="AY11" s="327"/>
      <c r="AZ11" s="327"/>
      <c r="BA11" s="327"/>
      <c r="BB11" s="327"/>
      <c r="BC11" s="327"/>
      <c r="BD11" s="327"/>
      <c r="BE11" s="159"/>
      <c r="BF11" s="159"/>
      <c r="BG11" s="159"/>
      <c r="BH11" s="159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</row>
    <row r="12" spans="1:72" ht="21" customHeight="1">
      <c r="A12" s="148"/>
      <c r="B12" s="507" t="s">
        <v>221</v>
      </c>
      <c r="C12" s="508"/>
      <c r="D12" s="508"/>
      <c r="E12" s="509"/>
      <c r="F12" s="519"/>
      <c r="G12" s="517"/>
      <c r="H12" s="517"/>
      <c r="I12" s="517"/>
      <c r="J12" s="517"/>
      <c r="K12" s="520"/>
      <c r="L12" s="516"/>
      <c r="M12" s="517"/>
      <c r="N12" s="517"/>
      <c r="O12" s="517"/>
      <c r="P12" s="517"/>
      <c r="Q12" s="518"/>
      <c r="R12" s="519"/>
      <c r="S12" s="517"/>
      <c r="T12" s="517"/>
      <c r="U12" s="517"/>
      <c r="V12" s="517"/>
      <c r="W12" s="520"/>
      <c r="X12" s="519"/>
      <c r="Y12" s="517"/>
      <c r="Z12" s="517"/>
      <c r="AA12" s="517"/>
      <c r="AB12" s="517"/>
      <c r="AC12" s="520"/>
      <c r="AD12" s="516"/>
      <c r="AE12" s="517"/>
      <c r="AF12" s="517"/>
      <c r="AG12" s="517"/>
      <c r="AH12" s="517"/>
      <c r="AI12" s="555"/>
      <c r="AJ12" s="149"/>
      <c r="AK12" s="147"/>
      <c r="AL12" s="159" t="b">
        <f t="shared" si="6"/>
        <v>1</v>
      </c>
      <c r="AM12" s="159" t="b">
        <f t="shared" si="7"/>
        <v>1</v>
      </c>
      <c r="AN12" s="159" t="b">
        <f t="shared" si="0"/>
        <v>1</v>
      </c>
      <c r="AO12" s="159" t="b">
        <f t="shared" si="8"/>
        <v>1</v>
      </c>
      <c r="AP12" s="159" t="b">
        <f t="shared" si="9"/>
        <v>1</v>
      </c>
      <c r="AQ12" s="159" t="b">
        <f t="shared" si="10"/>
        <v>0</v>
      </c>
      <c r="AR12" s="159" t="b">
        <f t="shared" si="11"/>
        <v>0</v>
      </c>
      <c r="AS12" s="159" t="b">
        <f t="shared" si="12"/>
        <v>0</v>
      </c>
      <c r="AT12" s="159" t="b">
        <f t="shared" si="1"/>
        <v>0</v>
      </c>
      <c r="AU12" s="159" t="b">
        <f t="shared" si="2"/>
        <v>1</v>
      </c>
      <c r="AV12" s="159" t="b">
        <f t="shared" si="3"/>
        <v>1</v>
      </c>
      <c r="AW12" s="159" t="b">
        <f t="shared" si="4"/>
        <v>1</v>
      </c>
      <c r="AX12" s="159" t="b">
        <f t="shared" si="5"/>
        <v>1</v>
      </c>
      <c r="AY12" s="327"/>
      <c r="AZ12" s="327"/>
      <c r="BA12" s="327"/>
      <c r="BB12" s="327"/>
      <c r="BC12" s="327"/>
      <c r="BD12" s="327"/>
      <c r="BE12" s="159"/>
      <c r="BF12" s="159"/>
      <c r="BG12" s="159"/>
      <c r="BH12" s="159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</row>
    <row r="13" spans="1:72" ht="21" customHeight="1" thickBot="1">
      <c r="A13" s="148"/>
      <c r="B13" s="510" t="s">
        <v>475</v>
      </c>
      <c r="C13" s="511"/>
      <c r="D13" s="511"/>
      <c r="E13" s="512"/>
      <c r="F13" s="565"/>
      <c r="G13" s="557"/>
      <c r="H13" s="557"/>
      <c r="I13" s="557"/>
      <c r="J13" s="557"/>
      <c r="K13" s="566"/>
      <c r="L13" s="556"/>
      <c r="M13" s="557"/>
      <c r="N13" s="557"/>
      <c r="O13" s="557"/>
      <c r="P13" s="557"/>
      <c r="Q13" s="558"/>
      <c r="R13" s="565"/>
      <c r="S13" s="557"/>
      <c r="T13" s="557"/>
      <c r="U13" s="557"/>
      <c r="V13" s="557"/>
      <c r="W13" s="566"/>
      <c r="X13" s="565"/>
      <c r="Y13" s="557"/>
      <c r="Z13" s="557"/>
      <c r="AA13" s="557"/>
      <c r="AB13" s="557"/>
      <c r="AC13" s="566"/>
      <c r="AD13" s="556"/>
      <c r="AE13" s="557"/>
      <c r="AF13" s="557"/>
      <c r="AG13" s="557"/>
      <c r="AH13" s="557"/>
      <c r="AI13" s="559"/>
      <c r="AJ13" s="149"/>
      <c r="AK13" s="147"/>
      <c r="AL13" s="159" t="b">
        <f t="shared" si="6"/>
        <v>1</v>
      </c>
      <c r="AM13" s="159" t="b">
        <f t="shared" si="7"/>
        <v>1</v>
      </c>
      <c r="AN13" s="159" t="b">
        <f t="shared" si="0"/>
        <v>1</v>
      </c>
      <c r="AO13" s="159" t="b">
        <f t="shared" si="8"/>
        <v>1</v>
      </c>
      <c r="AP13" s="159" t="b">
        <f t="shared" si="9"/>
        <v>1</v>
      </c>
      <c r="AQ13" s="159" t="b">
        <f t="shared" si="10"/>
        <v>0</v>
      </c>
      <c r="AR13" s="159" t="b">
        <f t="shared" si="11"/>
        <v>0</v>
      </c>
      <c r="AS13" s="159" t="b">
        <f t="shared" si="12"/>
        <v>0</v>
      </c>
      <c r="AT13" s="159" t="b">
        <f t="shared" si="1"/>
        <v>0</v>
      </c>
      <c r="AU13" s="159" t="b">
        <f t="shared" si="2"/>
        <v>1</v>
      </c>
      <c r="AV13" s="159" t="b">
        <f t="shared" si="3"/>
        <v>1</v>
      </c>
      <c r="AW13" s="159" t="b">
        <f t="shared" si="4"/>
        <v>1</v>
      </c>
      <c r="AX13" s="159" t="b">
        <f t="shared" si="5"/>
        <v>1</v>
      </c>
      <c r="AY13" s="327"/>
      <c r="AZ13" s="327"/>
      <c r="BA13" s="327"/>
      <c r="BB13" s="327"/>
      <c r="BC13" s="327"/>
      <c r="BD13" s="327"/>
      <c r="BE13" s="159"/>
      <c r="BF13" s="159"/>
      <c r="BG13" s="159"/>
      <c r="BH13" s="159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</row>
    <row r="14" spans="1:72" ht="27" customHeight="1">
      <c r="A14" s="151"/>
      <c r="B14" s="514"/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4"/>
      <c r="AE14" s="514"/>
      <c r="AF14" s="514"/>
      <c r="AG14" s="514"/>
      <c r="AH14" s="514"/>
      <c r="AI14" s="514"/>
      <c r="AJ14" s="150"/>
      <c r="AK14" s="147"/>
      <c r="AL14" s="155">
        <f>AL3-AQ3</f>
        <v>0</v>
      </c>
      <c r="AM14" s="155">
        <f>AM3-AR3</f>
        <v>0</v>
      </c>
      <c r="AN14" s="155">
        <f>AN3-AS3</f>
        <v>0</v>
      </c>
      <c r="AO14" s="155">
        <f>AO3-AT3</f>
        <v>0</v>
      </c>
      <c r="AP14" s="155">
        <f>AP3-AU3</f>
        <v>0</v>
      </c>
      <c r="AQ14" s="146"/>
      <c r="AR14" s="146"/>
      <c r="AS14" s="146"/>
      <c r="AT14" s="146"/>
      <c r="AU14" s="146"/>
      <c r="AV14" s="146"/>
      <c r="AW14" s="146"/>
      <c r="AX14" s="146"/>
      <c r="AY14" s="328"/>
      <c r="AZ14" s="328"/>
      <c r="BA14" s="328"/>
      <c r="BB14" s="328"/>
      <c r="BC14" s="328"/>
      <c r="BD14" s="328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</row>
    <row r="15" spans="1:72" ht="18">
      <c r="A15" s="567" t="s">
        <v>468</v>
      </c>
      <c r="B15" s="567"/>
      <c r="C15" s="567"/>
      <c r="D15" s="567"/>
      <c r="E15" s="567"/>
      <c r="F15" s="567"/>
      <c r="G15" s="567"/>
      <c r="H15" s="567"/>
      <c r="I15" s="567"/>
      <c r="J15" s="567"/>
      <c r="K15" s="567"/>
      <c r="L15" s="567"/>
      <c r="M15" s="567"/>
      <c r="N15" s="567"/>
      <c r="O15" s="567"/>
      <c r="P15" s="567"/>
      <c r="Q15" s="567"/>
      <c r="R15" s="567"/>
      <c r="S15" s="567"/>
      <c r="T15" s="567"/>
      <c r="U15" s="567"/>
      <c r="V15" s="567"/>
      <c r="W15" s="567"/>
      <c r="X15" s="567"/>
      <c r="Y15" s="567"/>
      <c r="Z15" s="567"/>
      <c r="AA15" s="567"/>
      <c r="AB15" s="567"/>
      <c r="AC15" s="567"/>
      <c r="AD15" s="567"/>
      <c r="AE15" s="567"/>
      <c r="AF15" s="567"/>
      <c r="AG15" s="567"/>
      <c r="AH15" s="567"/>
      <c r="AI15" s="567"/>
      <c r="AJ15" s="567"/>
      <c r="AK15" s="141"/>
    </row>
    <row r="16" spans="1:72" ht="11.25" customHeight="1">
      <c r="A16" s="139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9"/>
      <c r="P16" s="139"/>
      <c r="Q16" s="139"/>
      <c r="R16" s="139"/>
      <c r="S16" s="134"/>
      <c r="T16" s="139"/>
      <c r="U16" s="139"/>
      <c r="V16" s="139"/>
      <c r="W16" s="139"/>
      <c r="X16" s="139"/>
      <c r="Y16" s="139"/>
      <c r="Z16" s="139"/>
      <c r="AA16" s="139"/>
      <c r="AB16" s="134"/>
      <c r="AC16" s="139"/>
      <c r="AD16" s="139"/>
      <c r="AE16" s="139"/>
      <c r="AF16" s="139"/>
      <c r="AG16" s="139"/>
      <c r="AH16" s="139"/>
      <c r="AI16" s="139"/>
      <c r="AJ16" s="139"/>
      <c r="AR16" s="161"/>
    </row>
    <row r="17" spans="1:40" ht="22.5" customHeight="1" thickBot="1">
      <c r="A17" s="534" t="s">
        <v>481</v>
      </c>
      <c r="B17" s="534"/>
      <c r="C17" s="534"/>
      <c r="D17" s="534"/>
      <c r="E17" s="534"/>
      <c r="F17" s="534"/>
      <c r="G17" s="534"/>
      <c r="H17" s="534"/>
      <c r="I17" s="534"/>
      <c r="J17" s="133"/>
      <c r="K17" s="552" t="s">
        <v>478</v>
      </c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</row>
    <row r="18" spans="1:40" ht="24" customHeight="1" thickTop="1">
      <c r="A18" s="513" t="s">
        <v>470</v>
      </c>
      <c r="B18" s="513"/>
      <c r="C18" s="513"/>
      <c r="D18" s="513"/>
      <c r="E18" s="513"/>
      <c r="F18" s="513"/>
      <c r="G18" s="513"/>
      <c r="H18" s="513"/>
      <c r="I18" s="51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2"/>
    </row>
    <row r="19" spans="1:40" ht="18" customHeight="1">
      <c r="A19" s="515">
        <v>41813</v>
      </c>
      <c r="B19" s="515"/>
      <c r="C19" s="515"/>
      <c r="D19" s="515"/>
      <c r="E19" s="135" t="s">
        <v>469</v>
      </c>
      <c r="F19" s="515">
        <v>41863</v>
      </c>
      <c r="G19" s="515"/>
      <c r="H19" s="515"/>
      <c r="I19" s="515"/>
      <c r="J19" s="136"/>
      <c r="K19" s="553" t="s">
        <v>5</v>
      </c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L19" s="142" t="str">
        <f>K19</f>
        <v>ООО «ИЛ «Труд» (Волжский, Волгоградская обл.)</v>
      </c>
    </row>
    <row r="20" spans="1:40">
      <c r="A20" s="506" t="s">
        <v>477</v>
      </c>
      <c r="B20" s="506"/>
      <c r="C20" s="506"/>
      <c r="D20" s="506"/>
      <c r="E20" s="506"/>
      <c r="F20" s="506"/>
      <c r="G20" s="506"/>
      <c r="H20" s="506"/>
      <c r="I20" s="506"/>
      <c r="J20" s="137"/>
      <c r="K20" s="554" t="s">
        <v>483</v>
      </c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554"/>
      <c r="AH20" s="554"/>
      <c r="AI20" s="554"/>
      <c r="AJ20" s="554"/>
      <c r="AL20" s="160"/>
      <c r="AM20" s="160"/>
      <c r="AN20" s="160"/>
    </row>
    <row r="21" spans="1:40" ht="24" customHeight="1">
      <c r="A21" s="513" t="s">
        <v>471</v>
      </c>
      <c r="B21" s="513"/>
      <c r="C21" s="513"/>
      <c r="D21" s="513"/>
      <c r="E21" s="513"/>
      <c r="F21" s="513"/>
      <c r="G21" s="513"/>
      <c r="H21" s="513"/>
      <c r="I21" s="51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</row>
    <row r="22" spans="1:40" ht="18" customHeight="1">
      <c r="A22" s="504"/>
      <c r="B22" s="504"/>
      <c r="C22" s="504"/>
      <c r="D22" s="504"/>
      <c r="E22" s="135" t="s">
        <v>469</v>
      </c>
      <c r="F22" s="504"/>
      <c r="G22" s="504"/>
      <c r="H22" s="504"/>
      <c r="I22" s="504"/>
      <c r="J22" s="136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  <c r="AA22" s="533"/>
      <c r="AB22" s="533"/>
      <c r="AC22" s="533"/>
      <c r="AD22" s="533"/>
      <c r="AE22" s="533"/>
      <c r="AF22" s="533"/>
      <c r="AG22" s="533"/>
      <c r="AH22" s="533"/>
      <c r="AI22" s="533"/>
      <c r="AJ22" s="533"/>
      <c r="AL22" s="142">
        <f>K22</f>
        <v>0</v>
      </c>
    </row>
    <row r="23" spans="1:40">
      <c r="A23" s="506" t="s">
        <v>477</v>
      </c>
      <c r="B23" s="506"/>
      <c r="C23" s="506"/>
      <c r="D23" s="506"/>
      <c r="E23" s="506"/>
      <c r="F23" s="506"/>
      <c r="G23" s="506"/>
      <c r="H23" s="506"/>
      <c r="I23" s="506"/>
      <c r="J23" s="137"/>
      <c r="K23" s="505" t="s">
        <v>483</v>
      </c>
      <c r="L23" s="505"/>
      <c r="M23" s="505"/>
      <c r="N23" s="505"/>
      <c r="O23" s="505"/>
      <c r="P23" s="505"/>
      <c r="Q23" s="505"/>
      <c r="R23" s="505"/>
      <c r="S23" s="505"/>
      <c r="T23" s="505"/>
      <c r="U23" s="505"/>
      <c r="V23" s="505"/>
      <c r="W23" s="505"/>
      <c r="X23" s="505"/>
      <c r="Y23" s="505"/>
      <c r="Z23" s="505"/>
      <c r="AA23" s="505"/>
      <c r="AB23" s="505"/>
      <c r="AC23" s="505"/>
      <c r="AD23" s="505"/>
      <c r="AE23" s="505"/>
      <c r="AF23" s="505"/>
      <c r="AG23" s="505"/>
      <c r="AH23" s="505"/>
      <c r="AI23" s="505"/>
      <c r="AJ23" s="505"/>
      <c r="AL23" s="160"/>
      <c r="AM23" s="160"/>
      <c r="AN23" s="160"/>
    </row>
    <row r="24" spans="1:40" ht="24" customHeight="1">
      <c r="A24" s="513" t="s">
        <v>472</v>
      </c>
      <c r="B24" s="513"/>
      <c r="C24" s="513"/>
      <c r="D24" s="513"/>
      <c r="E24" s="513"/>
      <c r="F24" s="513"/>
      <c r="G24" s="513"/>
      <c r="H24" s="513"/>
      <c r="I24" s="513"/>
      <c r="J24" s="138"/>
      <c r="K24" s="138"/>
      <c r="L24" s="138"/>
      <c r="M24" s="138"/>
      <c r="N24" s="135"/>
      <c r="O24" s="138"/>
      <c r="P24" s="138"/>
      <c r="Q24" s="138"/>
      <c r="R24" s="138"/>
      <c r="S24" s="138"/>
      <c r="T24" s="138"/>
      <c r="U24" s="138"/>
      <c r="V24" s="138"/>
      <c r="W24" s="135"/>
      <c r="X24" s="138"/>
      <c r="Y24" s="138"/>
      <c r="Z24" s="138"/>
      <c r="AA24" s="138"/>
      <c r="AB24" s="138"/>
      <c r="AC24" s="138"/>
      <c r="AD24" s="138"/>
      <c r="AE24" s="138"/>
      <c r="AF24" s="135"/>
      <c r="AG24" s="138"/>
      <c r="AH24" s="138"/>
      <c r="AI24" s="138"/>
      <c r="AJ24" s="138"/>
    </row>
    <row r="25" spans="1:40" ht="18" customHeight="1">
      <c r="A25" s="504"/>
      <c r="B25" s="504"/>
      <c r="C25" s="504"/>
      <c r="D25" s="504"/>
      <c r="E25" s="135" t="s">
        <v>469</v>
      </c>
      <c r="F25" s="504"/>
      <c r="G25" s="504"/>
      <c r="H25" s="504"/>
      <c r="I25" s="504"/>
      <c r="J25" s="136"/>
      <c r="K25" s="533"/>
      <c r="L25" s="533"/>
      <c r="M25" s="533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533"/>
      <c r="AA25" s="533"/>
      <c r="AB25" s="533"/>
      <c r="AC25" s="533"/>
      <c r="AD25" s="533"/>
      <c r="AE25" s="533"/>
      <c r="AF25" s="533"/>
      <c r="AG25" s="533"/>
      <c r="AH25" s="533"/>
      <c r="AI25" s="533"/>
      <c r="AJ25" s="533"/>
      <c r="AL25" s="142">
        <f>K25</f>
        <v>0</v>
      </c>
    </row>
    <row r="26" spans="1:40">
      <c r="A26" s="506" t="s">
        <v>477</v>
      </c>
      <c r="B26" s="506"/>
      <c r="C26" s="506"/>
      <c r="D26" s="506"/>
      <c r="E26" s="506"/>
      <c r="F26" s="506"/>
      <c r="G26" s="506"/>
      <c r="H26" s="506"/>
      <c r="I26" s="506"/>
      <c r="J26" s="137"/>
      <c r="K26" s="505" t="s">
        <v>483</v>
      </c>
      <c r="L26" s="505"/>
      <c r="M26" s="505"/>
      <c r="N26" s="505"/>
      <c r="O26" s="505"/>
      <c r="P26" s="505"/>
      <c r="Q26" s="505"/>
      <c r="R26" s="505"/>
      <c r="S26" s="505"/>
      <c r="T26" s="505"/>
      <c r="U26" s="505"/>
      <c r="V26" s="505"/>
      <c r="W26" s="505"/>
      <c r="X26" s="505"/>
      <c r="Y26" s="505"/>
      <c r="Z26" s="505"/>
      <c r="AA26" s="505"/>
      <c r="AB26" s="505"/>
      <c r="AC26" s="505"/>
      <c r="AD26" s="505"/>
      <c r="AE26" s="505"/>
      <c r="AF26" s="505"/>
      <c r="AG26" s="505"/>
      <c r="AH26" s="505"/>
      <c r="AI26" s="505"/>
      <c r="AJ26" s="505"/>
      <c r="AL26" s="160"/>
      <c r="AM26" s="160"/>
      <c r="AN26" s="160"/>
    </row>
    <row r="27" spans="1:40" ht="24" customHeight="1">
      <c r="A27" s="513" t="s">
        <v>473</v>
      </c>
      <c r="B27" s="513"/>
      <c r="C27" s="513"/>
      <c r="D27" s="513"/>
      <c r="E27" s="513"/>
      <c r="F27" s="513"/>
      <c r="G27" s="513"/>
      <c r="H27" s="513"/>
      <c r="I27" s="513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</row>
    <row r="28" spans="1:40" ht="18" customHeight="1">
      <c r="A28" s="504"/>
      <c r="B28" s="504"/>
      <c r="C28" s="504"/>
      <c r="D28" s="504"/>
      <c r="E28" s="135" t="s">
        <v>469</v>
      </c>
      <c r="F28" s="504"/>
      <c r="G28" s="504"/>
      <c r="H28" s="504"/>
      <c r="I28" s="504"/>
      <c r="J28" s="136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L28" s="142">
        <f>K28</f>
        <v>0</v>
      </c>
    </row>
    <row r="29" spans="1:40">
      <c r="A29" s="506" t="s">
        <v>477</v>
      </c>
      <c r="B29" s="506"/>
      <c r="C29" s="506"/>
      <c r="D29" s="506"/>
      <c r="E29" s="506"/>
      <c r="F29" s="506"/>
      <c r="G29" s="506"/>
      <c r="H29" s="506"/>
      <c r="I29" s="506"/>
      <c r="J29" s="137"/>
      <c r="K29" s="505" t="s">
        <v>483</v>
      </c>
      <c r="L29" s="505"/>
      <c r="M29" s="505"/>
      <c r="N29" s="505"/>
      <c r="O29" s="505"/>
      <c r="P29" s="505"/>
      <c r="Q29" s="505"/>
      <c r="R29" s="505"/>
      <c r="S29" s="505"/>
      <c r="T29" s="505"/>
      <c r="U29" s="505"/>
      <c r="V29" s="505"/>
      <c r="W29" s="505"/>
      <c r="X29" s="505"/>
      <c r="Y29" s="505"/>
      <c r="Z29" s="505"/>
      <c r="AA29" s="505"/>
      <c r="AB29" s="505"/>
      <c r="AC29" s="505"/>
      <c r="AD29" s="505"/>
      <c r="AE29" s="505"/>
      <c r="AF29" s="505"/>
      <c r="AG29" s="505"/>
      <c r="AH29" s="505"/>
      <c r="AI29" s="505"/>
      <c r="AJ29" s="505"/>
      <c r="AL29" s="160"/>
      <c r="AM29" s="160"/>
      <c r="AN29" s="160"/>
    </row>
    <row r="30" spans="1:40" ht="24" customHeight="1">
      <c r="A30" s="513" t="s">
        <v>474</v>
      </c>
      <c r="B30" s="513"/>
      <c r="C30" s="513"/>
      <c r="D30" s="513"/>
      <c r="E30" s="513"/>
      <c r="F30" s="513"/>
      <c r="G30" s="513"/>
      <c r="H30" s="513"/>
      <c r="I30" s="513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</row>
    <row r="31" spans="1:40" ht="18" customHeight="1">
      <c r="A31" s="504"/>
      <c r="B31" s="504"/>
      <c r="C31" s="504"/>
      <c r="D31" s="504"/>
      <c r="E31" s="135" t="s">
        <v>469</v>
      </c>
      <c r="F31" s="504"/>
      <c r="G31" s="504"/>
      <c r="H31" s="504"/>
      <c r="I31" s="504"/>
      <c r="J31" s="136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533"/>
      <c r="AA31" s="533"/>
      <c r="AB31" s="533"/>
      <c r="AC31" s="533"/>
      <c r="AD31" s="533"/>
      <c r="AE31" s="533"/>
      <c r="AF31" s="533"/>
      <c r="AG31" s="533"/>
      <c r="AH31" s="533"/>
      <c r="AI31" s="533"/>
      <c r="AJ31" s="533"/>
      <c r="AL31" s="142">
        <f>K31</f>
        <v>0</v>
      </c>
    </row>
    <row r="32" spans="1:40" ht="15.75" customHeight="1">
      <c r="A32" s="506" t="s">
        <v>477</v>
      </c>
      <c r="B32" s="506"/>
      <c r="C32" s="506"/>
      <c r="D32" s="506"/>
      <c r="E32" s="506"/>
      <c r="F32" s="506"/>
      <c r="G32" s="506"/>
      <c r="H32" s="506"/>
      <c r="I32" s="506"/>
      <c r="J32" s="137"/>
      <c r="K32" s="569" t="s">
        <v>483</v>
      </c>
      <c r="L32" s="569"/>
      <c r="M32" s="569"/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9"/>
      <c r="AA32" s="569"/>
      <c r="AB32" s="569"/>
      <c r="AC32" s="569"/>
      <c r="AD32" s="569"/>
      <c r="AE32" s="569"/>
      <c r="AF32" s="569"/>
      <c r="AG32" s="569"/>
      <c r="AH32" s="569"/>
      <c r="AI32" s="569"/>
      <c r="AJ32" s="569"/>
      <c r="AL32" s="160"/>
    </row>
    <row r="33" spans="1:39" ht="11.25" customHeight="1">
      <c r="A33" s="154"/>
      <c r="B33" s="154"/>
      <c r="C33" s="154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</row>
    <row r="34" spans="1:39" ht="51" customHeight="1">
      <c r="A34" s="561" t="s">
        <v>566</v>
      </c>
      <c r="B34" s="561"/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1"/>
    </row>
    <row r="35" spans="1:39">
      <c r="AM35" s="70" t="s">
        <v>226</v>
      </c>
    </row>
    <row r="36" spans="1:39" ht="63.75" customHeight="1" thickBot="1">
      <c r="A36" s="564" t="s">
        <v>488</v>
      </c>
      <c r="B36" s="564"/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M36" s="71" t="s">
        <v>0</v>
      </c>
    </row>
    <row r="37" spans="1:39" ht="18" customHeight="1" thickTop="1">
      <c r="A37" s="502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M37" s="71" t="s">
        <v>1</v>
      </c>
    </row>
    <row r="38" spans="1:39" ht="2.1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M38" s="70" t="s">
        <v>149</v>
      </c>
    </row>
    <row r="39" spans="1:39" ht="18" customHeight="1">
      <c r="A39" s="503"/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  <c r="AA39" s="503"/>
      <c r="AB39" s="503"/>
      <c r="AC39" s="503"/>
      <c r="AD39" s="503"/>
      <c r="AE39" s="503"/>
      <c r="AF39" s="503"/>
      <c r="AG39" s="503"/>
      <c r="AH39" s="503"/>
      <c r="AI39" s="503"/>
      <c r="AJ39" s="503"/>
      <c r="AM39" s="70" t="s">
        <v>228</v>
      </c>
    </row>
    <row r="40" spans="1:39" ht="2.1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M40" s="70" t="s">
        <v>229</v>
      </c>
    </row>
    <row r="41" spans="1:39" ht="18" customHeight="1">
      <c r="A41" s="503"/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  <c r="Q41" s="503"/>
      <c r="R41" s="503"/>
      <c r="S41" s="503"/>
      <c r="T41" s="503"/>
      <c r="U41" s="503"/>
      <c r="V41" s="503"/>
      <c r="W41" s="503"/>
      <c r="X41" s="503"/>
      <c r="Y41" s="503"/>
      <c r="Z41" s="503"/>
      <c r="AA41" s="503"/>
      <c r="AB41" s="503"/>
      <c r="AC41" s="503"/>
      <c r="AD41" s="503"/>
      <c r="AE41" s="503"/>
      <c r="AF41" s="503"/>
      <c r="AG41" s="503"/>
      <c r="AH41" s="503"/>
      <c r="AI41" s="503"/>
      <c r="AJ41" s="503"/>
      <c r="AM41" s="70" t="s">
        <v>2</v>
      </c>
    </row>
    <row r="42" spans="1:39" ht="2.1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M42" s="70" t="s">
        <v>510</v>
      </c>
    </row>
    <row r="43" spans="1:39" ht="18" customHeight="1">
      <c r="A43" s="503"/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/>
      <c r="AG43" s="503"/>
      <c r="AH43" s="503"/>
      <c r="AI43" s="503"/>
      <c r="AJ43" s="503"/>
      <c r="AM43" s="70" t="s">
        <v>3</v>
      </c>
    </row>
    <row r="44" spans="1:39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M44" s="70" t="s">
        <v>71</v>
      </c>
    </row>
    <row r="45" spans="1:39">
      <c r="AM45" s="70" t="s">
        <v>227</v>
      </c>
    </row>
    <row r="46" spans="1:39" ht="67.5" customHeight="1">
      <c r="A46" s="563" t="s">
        <v>484</v>
      </c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M46" s="70" t="s">
        <v>4</v>
      </c>
    </row>
    <row r="47" spans="1:39">
      <c r="AM47" s="70" t="s">
        <v>133</v>
      </c>
    </row>
    <row r="48" spans="1:39" ht="26.25" customHeight="1">
      <c r="A48" s="562" t="str">
        <f>IF(AL48&gt;0,CONCATENATE("УКАЗАТЕЛЬ ОТДЕЛЬНЫХ ОШИБОК ДАННЫХ (замечаний – ",AL48," шт.)"),"")</f>
        <v/>
      </c>
      <c r="B48" s="562"/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  <c r="AG48" s="562"/>
      <c r="AH48" s="562"/>
      <c r="AI48" s="562"/>
      <c r="AJ48" s="562"/>
      <c r="AL48" s="160">
        <f>20-COUNTIF(A49:AJ68," ")</f>
        <v>0</v>
      </c>
      <c r="AM48" s="71" t="s">
        <v>5</v>
      </c>
    </row>
    <row r="49" spans="1:39" ht="31.5" customHeight="1">
      <c r="A49" s="560" t="str">
        <f>IF(OR(F6&gt;AL3,F7&gt;AL3,F8&gt;AL3,F9&gt;AL3,F10&gt;AL3,F11&gt;AL3,F12&gt;AL3,F13&gt;AL3),CONCATENATE("Количество рабочих мест по одному из классов условий труда (",MAX(F6:K13)," р.м.) больше количества всех рабочих мест в организации (",AL3," р.м.)!")," ")</f>
        <v xml:space="preserve"> </v>
      </c>
      <c r="B49" s="560"/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560"/>
      <c r="AI49" s="560"/>
      <c r="AJ49" s="560"/>
      <c r="AM49" s="70" t="s">
        <v>6</v>
      </c>
    </row>
    <row r="50" spans="1:39" ht="31.5" customHeight="1">
      <c r="A50" s="560" t="str">
        <f>IF(OR(L6&gt;AM3,L7&gt;AM3,L8&gt;AM3,L9&gt;AM3,L10&gt;AM3,L11&gt;AM3,L12&gt;AM3,L13&gt;AM3),CONCATENATE("Численность работников, занятых на рабочих местах с одним из классов условий труда (",MAX(L6:Q13)," чел.), больше численности всех работников в организации (",AM3," чел.)!")," ")</f>
        <v xml:space="preserve"> </v>
      </c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M50" s="70" t="s">
        <v>7</v>
      </c>
    </row>
    <row r="51" spans="1:39" ht="31.5" customHeight="1">
      <c r="A51" s="560" t="str">
        <f>IF(OR(R6&gt;AN3,R7&gt;AN3,R8&gt;AN3,R9&gt;AN3,R10&gt;AN3,R11&gt;AN3,R12&gt;AN3,R13&gt;AN3),CONCATENATE("Численность женщин, занятых на рабочих местах с одним из классов условий труда (",MAX(R6:W13)," чел.), больше численности всех женщин в организации (",AN3," чел.)!")," ")</f>
        <v xml:space="preserve"> 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M51" s="70" t="s">
        <v>8</v>
      </c>
    </row>
    <row r="52" spans="1:39" ht="31.5" customHeight="1">
      <c r="A52" s="560" t="str">
        <f>IF(OR(X6&gt;AO3,X7&gt;AO3,X8&gt;AO3,X9&gt;AO3,X10&gt;AO3,X11&gt;AO3,X12&gt;AO3,X13&gt;AO3),CONCATENATE("Численность лиц моложе 18 лет, занятых на рабочих местах с одним из классов условий труда (",MAX(X6:AC13)," чел.), больше численности всех лиц моложе 18 лет в организации (",AO3," чел.)!")," ")</f>
        <v xml:space="preserve"> 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M52" s="70" t="s">
        <v>9</v>
      </c>
    </row>
    <row r="53" spans="1:39" ht="31.5" customHeight="1">
      <c r="A53" s="560" t="str">
        <f>IF(OR(AD6&gt;AP3,AD7&gt;AP3,AD8&gt;AP3,AD9&gt;AP3,AD10&gt;AP3,AD11&gt;AP3,AD12&gt;AP3,AD13&gt;AP3),CONCATENATE("Численность инвалидов, занятых на рабочих местах с одним из классов условий труда (",MAX(AD6:AI13)," чел.), больше численности всех инвалидов в организации (",AP3," чел.)!")," ")</f>
        <v xml:space="preserve"> 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M53" s="70" t="s">
        <v>10</v>
      </c>
    </row>
    <row r="54" spans="1:39" ht="31.5" customHeight="1">
      <c r="A54" s="560" t="str">
        <f>IF(AQ3&gt;AL3,CONCATENATE("Количество рабочих мест, на которых проведена специальная оценка условий труда (",AQ3," р.м.), больше количества всех рабочих мест в организации (",AL3," р.м.)!")," ")</f>
        <v xml:space="preserve"> 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M54" s="70" t="s">
        <v>455</v>
      </c>
    </row>
    <row r="55" spans="1:39" ht="31.5" customHeight="1">
      <c r="A55" s="560" t="str">
        <f>IF(AR3&gt;AM3,CONCATENATE("Численность работников, занятых на прошедших специальную оценку условий труда рабочих местах (",AR3," чел.), больше численности всех работников в организации (",AM3," чел.)!")," ")</f>
        <v xml:space="preserve"> 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M55" s="378" t="s">
        <v>11</v>
      </c>
    </row>
    <row r="56" spans="1:39" ht="31.5" customHeight="1">
      <c r="A56" s="560" t="str">
        <f>IF(AS3&gt;AN3,CONCATENATE("Численность женщин, занятых на прошедших специальную оценку условий труда рабочих местах (",AS3," чел.), больше численности всех женщин в организации (",AN3," чел.)!")," ")</f>
        <v xml:space="preserve"> 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0"/>
      <c r="AF56" s="560"/>
      <c r="AG56" s="560"/>
      <c r="AH56" s="560"/>
      <c r="AI56" s="560"/>
      <c r="AJ56" s="560"/>
      <c r="AM56" s="378" t="s">
        <v>12</v>
      </c>
    </row>
    <row r="57" spans="1:39" ht="31.5" customHeight="1">
      <c r="A57" s="560" t="str">
        <f>IF(AT3&gt;AO3,CONCATENATE("Численность лиц моложе 18 лет, занятых на прошедших специальную оценку условий труда рабочих местах (",AT3," чел.), больше численности всех лиц моложе 18 лет в организации (",AO3," чел.)!")," ")</f>
        <v xml:space="preserve"> 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M57" s="70" t="s">
        <v>510</v>
      </c>
    </row>
    <row r="58" spans="1:39" ht="31.5" customHeight="1">
      <c r="A58" s="560" t="str">
        <f>IF(AU3&gt;AP3,CONCATENATE("Численность инвалидов, занятых на прошедших специальную оценку условий труда рабочих местах (",AU3," чел.), больше численности всех инвалидов в организации (",AP3," чел.)!")," ")</f>
        <v xml:space="preserve"> 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0"/>
      <c r="AF58" s="560"/>
      <c r="AG58" s="560"/>
      <c r="AH58" s="560"/>
      <c r="AI58" s="560"/>
      <c r="AJ58" s="560"/>
      <c r="AM58" s="70">
        <f>A37</f>
        <v>0</v>
      </c>
    </row>
    <row r="59" spans="1:39" ht="31.5" customHeight="1">
      <c r="A59" s="560" t="str">
        <f>IF(OR(AQ6=TRUE,AQ7=TRUE,AQ8=TRUE,AQ9=TRUE,AQ10=TRUE,AQ11=TRUE,AQ12=TRUE,AQ13=TRUE),CONCATENATE("Численность женщин, занятых на рабочих местах с одним из классов условий труда (",INDEX(F6:AT13,MATCH(TRUE,AQ6:AQ13,0),13)," чел.), больше численности всех работников, занятых на рабочих местах с данным классом условий труда (",INDEX(F6:AT13,MATCH(TRUE,AQ6:AQ13,0),7)," чел.)!")," ")</f>
        <v xml:space="preserve"> </v>
      </c>
      <c r="B59" s="560"/>
      <c r="C59" s="560"/>
      <c r="D59" s="560"/>
      <c r="E59" s="560"/>
      <c r="F59" s="560"/>
      <c r="G59" s="560"/>
      <c r="H59" s="560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0"/>
      <c r="Z59" s="560"/>
      <c r="AA59" s="560"/>
      <c r="AB59" s="560"/>
      <c r="AC59" s="560"/>
      <c r="AD59" s="560"/>
      <c r="AE59" s="560"/>
      <c r="AF59" s="560"/>
      <c r="AG59" s="560"/>
      <c r="AH59" s="560"/>
      <c r="AI59" s="560"/>
      <c r="AJ59" s="560"/>
      <c r="AM59" s="70">
        <f>A39</f>
        <v>0</v>
      </c>
    </row>
    <row r="60" spans="1:39" ht="31.5" customHeight="1">
      <c r="A60" s="560" t="str">
        <f>IF(OR(AR6=TRUE,AR7=TRUE,AR8=TRUE,AR9=TRUE,AR10=TRUE,AR11=TRUE,AR12=TRUE,AR13=TRUE),CONCATENATE("Численность лиц моложе 18 лет, занятых на рабочих местах с одним из классов условий труда (",INDEX(F6:AT13,MATCH(TRUE,AR6:AR13,0),19)," чел.), больше численности всех работников, занятых на рабочих местах с данным классом условий труда (",INDEX(F6:AT13,MATCH(TRUE,AR6:AR13,0),7)," чел.)!")," ")</f>
        <v xml:space="preserve"> </v>
      </c>
      <c r="B60" s="560"/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0"/>
      <c r="Z60" s="560"/>
      <c r="AA60" s="560"/>
      <c r="AB60" s="560"/>
      <c r="AC60" s="560"/>
      <c r="AD60" s="560"/>
      <c r="AE60" s="560"/>
      <c r="AF60" s="560"/>
      <c r="AG60" s="560"/>
      <c r="AH60" s="560"/>
      <c r="AI60" s="560"/>
      <c r="AJ60" s="560"/>
      <c r="AM60" s="70">
        <f>A41</f>
        <v>0</v>
      </c>
    </row>
    <row r="61" spans="1:39" ht="31.5" customHeight="1">
      <c r="A61" s="560" t="str">
        <f>IF(OR(AS6=TRUE,AS7=TRUE,AS8=TRUE,AS9=TRUE,AS10=TRUE,AS11=TRUE,AS12=TRUE,AS13=TRUE),CONCATENATE("Численность инвалидов, занятых на рабочих местах с одним из классов условий труда (",INDEX(F6:AT13,MATCH(TRUE,AS6:AS13,0),25)," чел.), больше численности всех работников, занятых на рабочих местах с данным классом условий труда (",INDEX(F6:AT13,MATCH(TRUE,AS6:AS13,0),7)," чел.)!")," ")</f>
        <v xml:space="preserve"> </v>
      </c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0"/>
      <c r="AF61" s="560"/>
      <c r="AG61" s="560"/>
      <c r="AH61" s="560"/>
      <c r="AI61" s="560"/>
      <c r="AJ61" s="560"/>
      <c r="AM61" s="70">
        <f>A43</f>
        <v>0</v>
      </c>
    </row>
    <row r="62" spans="1:39" ht="31.5" customHeight="1">
      <c r="A62" s="560" t="str">
        <f>IF(OR(AT63=TRUE,AT7=TRUE,AT8=TRUE,AT9=TRUE,AT10=TRUE,AT11=TRUE,AT12=TRUE,AT13=TRUE),"Не указано количество рабочих мест для данного класса условий труда, на которых заняты работники обозначенной категории"," ")</f>
        <v xml:space="preserve"> </v>
      </c>
      <c r="B62" s="560"/>
      <c r="C62" s="560"/>
      <c r="D62" s="560"/>
      <c r="E62" s="560"/>
      <c r="F62" s="560"/>
      <c r="G62" s="560"/>
      <c r="H62" s="560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0"/>
      <c r="Z62" s="560"/>
      <c r="AA62" s="560"/>
      <c r="AB62" s="560"/>
      <c r="AC62" s="560"/>
      <c r="AD62" s="560"/>
      <c r="AE62" s="560"/>
      <c r="AF62" s="560"/>
      <c r="AG62" s="560"/>
      <c r="AH62" s="560"/>
      <c r="AI62" s="560"/>
      <c r="AJ62" s="560"/>
    </row>
    <row r="63" spans="1:39" ht="31.5" customHeight="1">
      <c r="A63" s="560" t="str">
        <f>IF(OR(AL20=TRUE,AL23=TRUE,AL26=TRUE,AL29=TRUE,AL32=TRUE),"Дата начала проведения этапа специальной оценки условий труда в организации превышает дату его завершения!"," ")</f>
        <v xml:space="preserve"> </v>
      </c>
      <c r="B63" s="560"/>
      <c r="C63" s="560"/>
      <c r="D63" s="560"/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0"/>
      <c r="Z63" s="560"/>
      <c r="AA63" s="560"/>
      <c r="AB63" s="560"/>
      <c r="AC63" s="560"/>
      <c r="AD63" s="560"/>
      <c r="AE63" s="560"/>
      <c r="AF63" s="560"/>
      <c r="AG63" s="560"/>
      <c r="AH63" s="560"/>
      <c r="AI63" s="560"/>
      <c r="AJ63" s="560"/>
    </row>
    <row r="64" spans="1:39" ht="31.5" customHeight="1">
      <c r="A64" s="560" t="str">
        <f>IF(OR(AM20=TRUE,AM23=TRUE,AM26=TRUE,AM29=TRUE),"Дата окончания проведения этапа специальной оценки условий труда в организации превышает дату начала проведения следующего ее этапа!"," ")</f>
        <v xml:space="preserve"> </v>
      </c>
      <c r="B64" s="560"/>
      <c r="C64" s="560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</row>
    <row r="65" spans="1:36" ht="31.5" customHeight="1">
      <c r="A65" s="560" t="str">
        <f>IF(OR(AU6=FALSE,AU7=FALSE,AU8=FALSE,AU9=FALSE,AU10=FALSE,AU11=FALSE,AU12=FALSE,AU13=FALSE),CONCATENATE("Исходя из введенных данных, специальная оценка условий труда проведена на всех рабочих местах в организации. Вместе с тем, нет сведений о классах условий труда на рабочих местах ",AM14," работников, занятых на указанных рабочих местах!")," ")</f>
        <v xml:space="preserve"> </v>
      </c>
      <c r="B65" s="560"/>
      <c r="C65" s="560"/>
      <c r="D65" s="560"/>
      <c r="E65" s="560"/>
      <c r="F65" s="560"/>
      <c r="G65" s="560"/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0"/>
      <c r="Z65" s="560"/>
      <c r="AA65" s="560"/>
      <c r="AB65" s="560"/>
      <c r="AC65" s="560"/>
      <c r="AD65" s="560"/>
      <c r="AE65" s="560"/>
      <c r="AF65" s="560"/>
      <c r="AG65" s="560"/>
      <c r="AH65" s="560"/>
      <c r="AI65" s="560"/>
      <c r="AJ65" s="560"/>
    </row>
    <row r="66" spans="1:36" ht="31.5" customHeight="1">
      <c r="A66" s="560" t="str">
        <f>IF(OR(AV6=FALSE,AV7=FALSE,AV8=FALSE,AV9=FALSE,AV10=FALSE,AV11=FALSE,AV12=FALSE,AV13=FALSE),CONCATENATE("Исходя из введенных данных, специальная оценка условий труда проведена на всех рабочих местах в организации. Вместе с тем, нет сведений о классах условий труда на рабочих местах ",AN14," женщин, занятых на указанных рабочих местах!")," ")</f>
        <v xml:space="preserve"> </v>
      </c>
      <c r="B66" s="560"/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560"/>
      <c r="P66" s="560"/>
      <c r="Q66" s="560"/>
      <c r="R66" s="560"/>
      <c r="S66" s="560"/>
      <c r="T66" s="560"/>
      <c r="U66" s="560"/>
      <c r="V66" s="560"/>
      <c r="W66" s="560"/>
      <c r="X66" s="560"/>
      <c r="Y66" s="560"/>
      <c r="Z66" s="560"/>
      <c r="AA66" s="560"/>
      <c r="AB66" s="560"/>
      <c r="AC66" s="560"/>
      <c r="AD66" s="560"/>
      <c r="AE66" s="560"/>
      <c r="AF66" s="560"/>
      <c r="AG66" s="560"/>
      <c r="AH66" s="560"/>
      <c r="AI66" s="560"/>
      <c r="AJ66" s="560"/>
    </row>
    <row r="67" spans="1:36" ht="31.5" customHeight="1">
      <c r="A67" s="560" t="str">
        <f>IF(OR(AW6=FALSE,AW7=FALSE,AW8=FALSE,AW9=FALSE,AW10=FALSE,AW11=FALSE,AW12=FALSE,AW13=FALSE),CONCATENATE("Исходя из введенных данных, специальная оценка условий труда проведена на всех рабочих местах в организации. Вместе с тем, нет сведений о классах условий труда на рабочих местах ",AO14," лиц моложе 18 лет, занятых на указанных рабочих местах!")," ")</f>
        <v xml:space="preserve"> </v>
      </c>
      <c r="B67" s="560"/>
      <c r="C67" s="560"/>
      <c r="D67" s="560"/>
      <c r="E67" s="560"/>
      <c r="F67" s="560"/>
      <c r="G67" s="560"/>
      <c r="H67" s="560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0"/>
      <c r="Z67" s="560"/>
      <c r="AA67" s="560"/>
      <c r="AB67" s="560"/>
      <c r="AC67" s="560"/>
      <c r="AD67" s="560"/>
      <c r="AE67" s="560"/>
      <c r="AF67" s="560"/>
      <c r="AG67" s="560"/>
      <c r="AH67" s="560"/>
      <c r="AI67" s="560"/>
      <c r="AJ67" s="560"/>
    </row>
    <row r="68" spans="1:36" ht="31.5" customHeight="1">
      <c r="A68" s="560" t="str">
        <f>IF(OR(AX6=FALSE,AX7=FALSE,AX8=FALSE,AX9=FALSE,AX10=FALSE,AX11=FALSE,AX12=FALSE,AX13=FALSE),CONCATENATE("Исходя из введенных данных, специальная оценка условий труда проведена на всех рабочих местах в организации. Вместе с тем, нет сведений о классах условий труда на рабочих местах ",AP14," инвалидов, занятых на указанных рабочих местах!")," ")</f>
        <v xml:space="preserve"> </v>
      </c>
      <c r="B68" s="560"/>
      <c r="C68" s="560"/>
      <c r="D68" s="560"/>
      <c r="E68" s="560"/>
      <c r="F68" s="560"/>
      <c r="G68" s="560"/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0"/>
      <c r="Z68" s="560"/>
      <c r="AA68" s="560"/>
      <c r="AB68" s="560"/>
      <c r="AC68" s="560"/>
      <c r="AD68" s="560"/>
      <c r="AE68" s="560"/>
      <c r="AF68" s="560"/>
      <c r="AG68" s="560"/>
      <c r="AH68" s="560"/>
      <c r="AI68" s="560"/>
      <c r="AJ68" s="560"/>
    </row>
    <row r="69" spans="1:36">
      <c r="A69" s="568" t="s">
        <v>402</v>
      </c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</row>
  </sheetData>
  <sheetProtection password="CE28" sheet="1" objects="1" scenarios="1" selectLockedCells="1"/>
  <mergeCells count="120">
    <mergeCell ref="A55:AJ55"/>
    <mergeCell ref="A69:AJ69"/>
    <mergeCell ref="A68:AJ68"/>
    <mergeCell ref="A64:AJ64"/>
    <mergeCell ref="A65:AJ65"/>
    <mergeCell ref="A56:AJ56"/>
    <mergeCell ref="A58:AJ58"/>
    <mergeCell ref="A49:AJ49"/>
    <mergeCell ref="A50:AJ50"/>
    <mergeCell ref="A59:AJ59"/>
    <mergeCell ref="A60:AJ60"/>
    <mergeCell ref="A66:AJ66"/>
    <mergeCell ref="A67:AJ67"/>
    <mergeCell ref="A61:AJ61"/>
    <mergeCell ref="A62:AJ62"/>
    <mergeCell ref="A63:AJ63"/>
    <mergeCell ref="A57:AJ57"/>
    <mergeCell ref="A54:AJ54"/>
    <mergeCell ref="A51:AJ51"/>
    <mergeCell ref="A52:AJ52"/>
    <mergeCell ref="A53:AJ53"/>
    <mergeCell ref="K31:AJ31"/>
    <mergeCell ref="A34:AJ34"/>
    <mergeCell ref="A43:AJ43"/>
    <mergeCell ref="A48:AJ48"/>
    <mergeCell ref="A46:AJ46"/>
    <mergeCell ref="A36:AJ36"/>
    <mergeCell ref="K32:AJ32"/>
    <mergeCell ref="L3:AI3"/>
    <mergeCell ref="L4:Q5"/>
    <mergeCell ref="R4:AI4"/>
    <mergeCell ref="R5:W5"/>
    <mergeCell ref="X5:AC5"/>
    <mergeCell ref="AD5:AI5"/>
    <mergeCell ref="A1:AJ1"/>
    <mergeCell ref="A20:I20"/>
    <mergeCell ref="K17:AJ17"/>
    <mergeCell ref="K19:AJ19"/>
    <mergeCell ref="K20:AJ20"/>
    <mergeCell ref="A18:I18"/>
    <mergeCell ref="AD12:AI12"/>
    <mergeCell ref="L13:Q13"/>
    <mergeCell ref="AD13:AI13"/>
    <mergeCell ref="AD10:AI10"/>
    <mergeCell ref="F13:K13"/>
    <mergeCell ref="A15:AJ15"/>
    <mergeCell ref="B6:E6"/>
    <mergeCell ref="F6:K6"/>
    <mergeCell ref="L6:Q6"/>
    <mergeCell ref="R6:W6"/>
    <mergeCell ref="X6:AC6"/>
    <mergeCell ref="AD6:AI6"/>
    <mergeCell ref="X9:AC9"/>
    <mergeCell ref="L10:Q10"/>
    <mergeCell ref="R10:W10"/>
    <mergeCell ref="L11:Q11"/>
    <mergeCell ref="AD7:AI7"/>
    <mergeCell ref="F7:K7"/>
    <mergeCell ref="F8:K8"/>
    <mergeCell ref="F11:K11"/>
    <mergeCell ref="F12:K12"/>
    <mergeCell ref="F10:K10"/>
    <mergeCell ref="L7:Q7"/>
    <mergeCell ref="AD8:AI8"/>
    <mergeCell ref="L9:Q9"/>
    <mergeCell ref="R9:W9"/>
    <mergeCell ref="B3:E5"/>
    <mergeCell ref="F3:K5"/>
    <mergeCell ref="K29:AJ29"/>
    <mergeCell ref="B7:E7"/>
    <mergeCell ref="B8:E8"/>
    <mergeCell ref="F22:I22"/>
    <mergeCell ref="K22:AJ22"/>
    <mergeCell ref="A21:I21"/>
    <mergeCell ref="A17:I17"/>
    <mergeCell ref="A27:I27"/>
    <mergeCell ref="R11:W11"/>
    <mergeCell ref="X11:AC11"/>
    <mergeCell ref="B9:E9"/>
    <mergeCell ref="F9:K9"/>
    <mergeCell ref="AD9:AI9"/>
    <mergeCell ref="AD11:AI11"/>
    <mergeCell ref="X10:AC10"/>
    <mergeCell ref="B10:E10"/>
    <mergeCell ref="B11:E11"/>
    <mergeCell ref="X8:AC8"/>
    <mergeCell ref="R7:W7"/>
    <mergeCell ref="X7:AC7"/>
    <mergeCell ref="L8:Q8"/>
    <mergeCell ref="R8:W8"/>
    <mergeCell ref="B12:E12"/>
    <mergeCell ref="B13:E13"/>
    <mergeCell ref="A23:I23"/>
    <mergeCell ref="A24:I24"/>
    <mergeCell ref="B14:AI14"/>
    <mergeCell ref="F19:I19"/>
    <mergeCell ref="A19:D19"/>
    <mergeCell ref="A22:D22"/>
    <mergeCell ref="L12:Q12"/>
    <mergeCell ref="R12:W12"/>
    <mergeCell ref="X12:AC12"/>
    <mergeCell ref="R13:W13"/>
    <mergeCell ref="X13:AC13"/>
    <mergeCell ref="A37:AJ37"/>
    <mergeCell ref="A39:AJ39"/>
    <mergeCell ref="A41:AJ41"/>
    <mergeCell ref="F25:I25"/>
    <mergeCell ref="K23:AJ23"/>
    <mergeCell ref="A31:D31"/>
    <mergeCell ref="A29:I29"/>
    <mergeCell ref="A32:I32"/>
    <mergeCell ref="F31:I31"/>
    <mergeCell ref="A25:D25"/>
    <mergeCell ref="K25:AJ25"/>
    <mergeCell ref="A30:I30"/>
    <mergeCell ref="A26:I26"/>
    <mergeCell ref="K26:AJ26"/>
    <mergeCell ref="F28:I28"/>
    <mergeCell ref="K28:AJ28"/>
    <mergeCell ref="A28:D28"/>
  </mergeCells>
  <phoneticPr fontId="41" type="noConversion"/>
  <conditionalFormatting sqref="A23:I23">
    <cfRule type="expression" dxfId="137" priority="1" stopIfTrue="1">
      <formula>OR(ISBLANK(A19),ISBLANK(F19))</formula>
    </cfRule>
  </conditionalFormatting>
  <conditionalFormatting sqref="K23:AJ23">
    <cfRule type="expression" dxfId="136" priority="2" stopIfTrue="1">
      <formula>OR(ISBLANK(A19),ISBLANK(F19))</formula>
    </cfRule>
  </conditionalFormatting>
  <conditionalFormatting sqref="A26:I26">
    <cfRule type="expression" dxfId="135" priority="3" stopIfTrue="1">
      <formula>OR(ISBLANK(A22),ISBLANK(F22),ISBLANK(A19),ISBLANK(F19))</formula>
    </cfRule>
  </conditionalFormatting>
  <conditionalFormatting sqref="A29:I29">
    <cfRule type="expression" dxfId="134" priority="5" stopIfTrue="1">
      <formula>OR(ISBLANK(A25),ISBLANK(F25),ISBLANK(A22),ISBLANK(F22),ISBLANK(A19),ISBLANK(F19))</formula>
    </cfRule>
  </conditionalFormatting>
  <conditionalFormatting sqref="K29:AJ29">
    <cfRule type="expression" dxfId="133" priority="6" stopIfTrue="1">
      <formula>OR(ISBLANK(A25),ISBLANK(F25),ISBLANK(A22),ISBLANK(F22),ISBLANK(A19),ISBLANK(F19))</formula>
    </cfRule>
  </conditionalFormatting>
  <conditionalFormatting sqref="A32:I32">
    <cfRule type="expression" dxfId="132" priority="7" stopIfTrue="1">
      <formula>OR(ISBLANK(A28),ISBLANK(F28),ISBLANK(A25),ISBLANK(F25),ISBLANK(A22),ISBLANK(F22),ISBLANK(A19),ISBLANK(F19))</formula>
    </cfRule>
  </conditionalFormatting>
  <conditionalFormatting sqref="K32:AJ32">
    <cfRule type="expression" dxfId="131" priority="8" stopIfTrue="1">
      <formula>OR(ISBLANK(A28),ISBLANK(F28),ISBLANK(A25),ISBLANK(F25),ISBLANK(A22),ISBLANK(F22),ISBLANK(A19),ISBLANK(F19))</formula>
    </cfRule>
  </conditionalFormatting>
  <conditionalFormatting sqref="E22">
    <cfRule type="expression" dxfId="130" priority="9" stopIfTrue="1">
      <formula>OR(ISBLANK(A19),ISBLANK(F19))</formula>
    </cfRule>
  </conditionalFormatting>
  <conditionalFormatting sqref="E25">
    <cfRule type="expression" dxfId="129" priority="11" stopIfTrue="1">
      <formula>OR(ISBLANK(A22),ISBLANK(F22),ISBLANK(A19),ISBLANK(F19))</formula>
    </cfRule>
  </conditionalFormatting>
  <conditionalFormatting sqref="E28">
    <cfRule type="expression" dxfId="128" priority="12" stopIfTrue="1">
      <formula>OR(ISBLANK(A25),ISBLANK(F25),ISBLANK(A22),ISBLANK(F22),ISBLANK(A19),ISBLANK(F19))</formula>
    </cfRule>
  </conditionalFormatting>
  <conditionalFormatting sqref="E31">
    <cfRule type="expression" dxfId="127" priority="13" stopIfTrue="1">
      <formula>OR(ISBLANK(A28),ISBLANK(F28),ISBLANK(A25),ISBLANK(F25),ISBLANK(A22),ISBLANK(F22),ISBLANK(A19),ISBLANK(F19))</formula>
    </cfRule>
  </conditionalFormatting>
  <conditionalFormatting sqref="F7:K13">
    <cfRule type="expression" dxfId="126" priority="18" stopIfTrue="1">
      <formula>AL7=FALSE</formula>
    </cfRule>
  </conditionalFormatting>
  <conditionalFormatting sqref="A48:AJ48">
    <cfRule type="expression" dxfId="125" priority="19" stopIfTrue="1">
      <formula>AL48&gt;0</formula>
    </cfRule>
  </conditionalFormatting>
  <conditionalFormatting sqref="A18:I18">
    <cfRule type="expression" dxfId="124" priority="20" stopIfTrue="1">
      <formula>ISBLANK(A19)</formula>
    </cfRule>
    <cfRule type="expression" dxfId="123" priority="21" stopIfTrue="1">
      <formula>AL20=TRUE</formula>
    </cfRule>
  </conditionalFormatting>
  <conditionalFormatting sqref="A21:I21">
    <cfRule type="expression" dxfId="122" priority="22" stopIfTrue="1">
      <formula>OR(ISBLANK(A19),ISBLANK(F19))</formula>
    </cfRule>
    <cfRule type="expression" dxfId="121" priority="23" stopIfTrue="1">
      <formula>AL23=TRUE</formula>
    </cfRule>
  </conditionalFormatting>
  <conditionalFormatting sqref="F19:I19">
    <cfRule type="expression" dxfId="120" priority="24" stopIfTrue="1">
      <formula>ISBLANK(F19)</formula>
    </cfRule>
    <cfRule type="expression" dxfId="119" priority="25" stopIfTrue="1">
      <formula>AM20=TRUE</formula>
    </cfRule>
  </conditionalFormatting>
  <conditionalFormatting sqref="A24:I24">
    <cfRule type="expression" dxfId="118" priority="40" stopIfTrue="1">
      <formula>OR(ISBLANK(A22),ISBLANK(F22),ISBLANK(A19),ISBLANK(F19))</formula>
    </cfRule>
    <cfRule type="expression" dxfId="117" priority="41" stopIfTrue="1">
      <formula>AL26=TRUE</formula>
    </cfRule>
  </conditionalFormatting>
  <conditionalFormatting sqref="A27:I27">
    <cfRule type="expression" dxfId="116" priority="42" stopIfTrue="1">
      <formula>OR(ISBLANK(A25),ISBLANK(F25),ISBLANK(A22),ISBLANK(F22),ISBLANK(A19),ISBLANK(F19))</formula>
    </cfRule>
    <cfRule type="expression" dxfId="115" priority="43" stopIfTrue="1">
      <formula>AL29=TRUE</formula>
    </cfRule>
  </conditionalFormatting>
  <conditionalFormatting sqref="A30:I30">
    <cfRule type="expression" dxfId="114" priority="44" stopIfTrue="1">
      <formula>OR(ISBLANK(A28),ISBLANK(F28),ISBLANK(A25),ISBLANK(F25),ISBLANK(A22),ISBLANK(F22),ISBLANK(A19),ISBLANK(F19))</formula>
    </cfRule>
    <cfRule type="expression" dxfId="113" priority="45" stopIfTrue="1">
      <formula>AL32=TRUE</formula>
    </cfRule>
  </conditionalFormatting>
  <conditionalFormatting sqref="F6:K6">
    <cfRule type="expression" dxfId="112" priority="46" stopIfTrue="1">
      <formula>AL6=FALSE</formula>
    </cfRule>
  </conditionalFormatting>
  <conditionalFormatting sqref="A19:D19 K19:AJ19">
    <cfRule type="expression" dxfId="111" priority="47" stopIfTrue="1">
      <formula>ISBLANK(A19)</formula>
    </cfRule>
  </conditionalFormatting>
  <conditionalFormatting sqref="A43:AJ43 A41:AJ41 A39:AJ39 A37:AJ37">
    <cfRule type="expression" dxfId="110" priority="48" stopIfTrue="1">
      <formula>ISBLANK(A37)</formula>
    </cfRule>
  </conditionalFormatting>
  <conditionalFormatting sqref="L6:Q13">
    <cfRule type="expression" dxfId="109" priority="49" stopIfTrue="1">
      <formula>AND(AM6,AU6)=FALSE</formula>
    </cfRule>
  </conditionalFormatting>
  <conditionalFormatting sqref="R6:W13">
    <cfRule type="expression" dxfId="108" priority="50" stopIfTrue="1">
      <formula>AND(AN6,AV6)=FALSE</formula>
    </cfRule>
    <cfRule type="expression" dxfId="107" priority="51" stopIfTrue="1">
      <formula>AQ6=TRUE</formula>
    </cfRule>
  </conditionalFormatting>
  <conditionalFormatting sqref="X6:AC13">
    <cfRule type="expression" dxfId="106" priority="52" stopIfTrue="1">
      <formula>AND(AO6,AW6)=FALSE</formula>
    </cfRule>
    <cfRule type="expression" dxfId="105" priority="53" stopIfTrue="1">
      <formula>AR6=TRUE</formula>
    </cfRule>
  </conditionalFormatting>
  <conditionalFormatting sqref="AD6:AI13">
    <cfRule type="expression" dxfId="104" priority="54" stopIfTrue="1">
      <formula>AND(AP6,AX6)=FALSE</formula>
    </cfRule>
    <cfRule type="expression" dxfId="103" priority="55" stopIfTrue="1">
      <formula>AS6=TRUE</formula>
    </cfRule>
  </conditionalFormatting>
  <conditionalFormatting sqref="A69:AJ69">
    <cfRule type="expression" dxfId="102" priority="56" stopIfTrue="1">
      <formula>AL48&gt;0</formula>
    </cfRule>
  </conditionalFormatting>
  <conditionalFormatting sqref="A22:D22">
    <cfRule type="expression" dxfId="101" priority="93" stopIfTrue="1">
      <formula>AND(LEN(A19)&gt;0,LEN(F19)&gt;0,ISBLANK(A22))</formula>
    </cfRule>
    <cfRule type="expression" dxfId="100" priority="94" stopIfTrue="1">
      <formula>AM20=TRUE</formula>
    </cfRule>
  </conditionalFormatting>
  <conditionalFormatting sqref="F22:I22">
    <cfRule type="expression" dxfId="99" priority="95" stopIfTrue="1">
      <formula>AND(LEN(A19)&gt;0,LEN(F19)&gt;0,ISBLANK(F22))</formula>
    </cfRule>
    <cfRule type="expression" dxfId="98" priority="96" stopIfTrue="1">
      <formula>AM23=TRUE</formula>
    </cfRule>
  </conditionalFormatting>
  <conditionalFormatting sqref="K26:AJ26">
    <cfRule type="expression" dxfId="97" priority="97" stopIfTrue="1">
      <formula>OR(ISBLANK(A22),ISBLANK(F22),ISBLANK(A19),ISBLANK(F19))</formula>
    </cfRule>
  </conditionalFormatting>
  <conditionalFormatting sqref="K22:AJ22">
    <cfRule type="expression" dxfId="96" priority="98" stopIfTrue="1">
      <formula>AND(LEN(A19)&gt;0,LEN(F19)&gt;0,ISBLANK(K22))</formula>
    </cfRule>
  </conditionalFormatting>
  <conditionalFormatting sqref="A25:D25">
    <cfRule type="expression" dxfId="95" priority="99" stopIfTrue="1">
      <formula>AND(LEN(A22)&gt;0,LEN(F22)&gt;0,LEN(A19)&gt;0,LEN(F19)&gt;0,ISBLANK(A25))</formula>
    </cfRule>
    <cfRule type="expression" dxfId="94" priority="100" stopIfTrue="1">
      <formula>AM23=TRUE</formula>
    </cfRule>
  </conditionalFormatting>
  <conditionalFormatting sqref="F25:I25">
    <cfRule type="expression" dxfId="93" priority="101" stopIfTrue="1">
      <formula>AND(LEN(A22)&gt;0,LEN(F22)&gt;0,LEN(A19)&gt;0,LEN(F19)&gt;0,ISBLANK(F25))</formula>
    </cfRule>
    <cfRule type="expression" dxfId="92" priority="102" stopIfTrue="1">
      <formula>AM26=TRUE</formula>
    </cfRule>
  </conditionalFormatting>
  <conditionalFormatting sqref="K25:AJ25">
    <cfRule type="expression" dxfId="91" priority="103" stopIfTrue="1">
      <formula>AND(LEN(A22)&gt;0,LEN(F22)&gt;0,LEN(A19)&gt;0,LEN(F19)&gt;0,ISBLANK(K25))</formula>
    </cfRule>
  </conditionalFormatting>
  <conditionalFormatting sqref="A28:D28">
    <cfRule type="expression" dxfId="90" priority="104" stopIfTrue="1">
      <formula>AND(LEN(A25)&gt;0,LEN(F25)&gt;0,LEN(A22)&gt;0,LEN(F22)&gt;0,LEN(A19)&gt;0,LEN(F19)&gt;0,ISBLANK(A28))</formula>
    </cfRule>
    <cfRule type="expression" dxfId="89" priority="105" stopIfTrue="1">
      <formula>AM26=TRUE</formula>
    </cfRule>
  </conditionalFormatting>
  <conditionalFormatting sqref="F28:I28">
    <cfRule type="expression" dxfId="88" priority="106" stopIfTrue="1">
      <formula>AND(LEN(A25)&gt;0,LEN(F25)&gt;0,LEN(A22)&gt;0,LEN(F22)&gt;0,LEN(A19)&gt;0,LEN(F19)&gt;0,ISBLANK(F28))</formula>
    </cfRule>
    <cfRule type="expression" dxfId="87" priority="107" stopIfTrue="1">
      <formula>AM29=TRUE</formula>
    </cfRule>
  </conditionalFormatting>
  <conditionalFormatting sqref="K28:AJ28">
    <cfRule type="expression" dxfId="86" priority="108" stopIfTrue="1">
      <formula>AND(LEN(A25)&gt;0,LEN(F25)&gt;0,LEN(A22)&gt;0,LEN(F22)&gt;0,LEN(A19)&gt;0,LEN(F19)&gt;0,ISBLANK(K28))</formula>
    </cfRule>
  </conditionalFormatting>
  <conditionalFormatting sqref="A31:D31">
    <cfRule type="expression" dxfId="85" priority="109" stopIfTrue="1">
      <formula>AND(LEN(A28)&gt;0,LEN(F28)&gt;0,LEN(A25)&gt;0,LEN(F25)&gt;0,LEN(A22)&gt;0,LEN(F22)&gt;0,LEN(A19)&gt;0,LEN(F19)&gt;0,ISBLANK(A31))</formula>
    </cfRule>
    <cfRule type="expression" dxfId="84" priority="110" stopIfTrue="1">
      <formula>AM29=TRUE</formula>
    </cfRule>
  </conditionalFormatting>
  <conditionalFormatting sqref="F31:I31">
    <cfRule type="expression" dxfId="83" priority="111" stopIfTrue="1">
      <formula>AND(LEN(A28)&gt;0,LEN(F28)&gt;0,LEN(A25)&gt;0,LEN(F25)&gt;0,LEN(A22)&gt;0,LEN(F22)&gt;0,LEN(A19)&gt;0,LEN(F19)&gt;0,ISBLANK(F31))</formula>
    </cfRule>
  </conditionalFormatting>
  <conditionalFormatting sqref="K31:AJ31">
    <cfRule type="expression" dxfId="82" priority="112" stopIfTrue="1">
      <formula>AND(LEN(A28)&gt;0,LEN(F28)&gt;0,LEN(A25)&gt;0,LEN(F25)&gt;0,LEN(A22)&gt;0,LEN(F22)&gt;0,LEN(A19)&gt;0,LEN(F19)&gt;0,ISBLANK(K31))</formula>
    </cfRule>
  </conditionalFormatting>
  <dataValidations count="4">
    <dataValidation type="date" operator="lessThanOrEqual" allowBlank="1" showInputMessage="1" showErrorMessage="1" errorTitle="ВНИМАНИЕ!" error="Вводимая дата не существует" prompt="Введите дату в виде ДД.ММ.ГГГГ (например, 02.12.14)" sqref="F31:I31 A19:D19 F19:I19 A22:D22 F22:I22 A25:D25 F25:I25 A28:D28 F28:I28 A31:D31">
      <formula1>TODAY()</formula1>
    </dataValidation>
    <dataValidation type="whole" operator="greaterThan" allowBlank="1" showInputMessage="1" showErrorMessage="1" errorTitle="ВНИМАНИЕ!" error="Вводимое значение должно быть целым числом._x000a__x000a_Проверьте исходные данные и введите значение, соответствующее требуемому условию." sqref="F6:AI13">
      <formula1>0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K19:AJ19 K22:AJ22 K28:AJ28 K31:AJ31">
      <formula1>List3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K25:AJ25">
      <formula1>List3</formula1>
    </dataValidation>
  </dataValidations>
  <printOptions horizontalCentered="1"/>
  <pageMargins left="0.39370078740157483" right="0.39370078740157483" top="0.59055118110236227" bottom="0.59055118110236227" header="0.31496062992125984" footer="0.31496062992125984"/>
  <pageSetup paperSize="9" orientation="portrait" blackAndWhite="1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3399"/>
    <pageSetUpPr autoPageBreaks="0"/>
  </sheetPr>
  <dimension ref="A1:W92"/>
  <sheetViews>
    <sheetView showGridLines="0" showRowColHeaders="0" showZeros="0" topLeftCell="A17" zoomScale="125" zoomScaleNormal="125" workbookViewId="0">
      <selection activeCell="E25" sqref="E25"/>
    </sheetView>
  </sheetViews>
  <sheetFormatPr defaultRowHeight="15"/>
  <cols>
    <col min="1" max="1" width="31" style="2" customWidth="1"/>
    <col min="2" max="2" width="3.7109375" style="2" customWidth="1"/>
    <col min="3" max="3" width="11.28515625" style="2" customWidth="1"/>
    <col min="4" max="7" width="12.28515625" style="2" customWidth="1"/>
    <col min="8" max="8" width="12.28515625" style="310" hidden="1" customWidth="1"/>
    <col min="9" max="16" width="6.7109375" style="34" hidden="1" customWidth="1"/>
    <col min="17" max="21" width="6.7109375" style="2" hidden="1" customWidth="1"/>
    <col min="22" max="22" width="7.7109375" style="2" customWidth="1"/>
    <col min="23" max="16384" width="9.140625" style="2"/>
  </cols>
  <sheetData>
    <row r="1" spans="1:23" ht="81" customHeight="1">
      <c r="A1" s="606" t="s">
        <v>482</v>
      </c>
      <c r="B1" s="607"/>
      <c r="C1" s="607"/>
      <c r="D1" s="607"/>
      <c r="E1" s="607"/>
      <c r="F1" s="607"/>
      <c r="G1" s="607"/>
      <c r="I1" s="3"/>
      <c r="J1" s="3"/>
      <c r="K1" s="3"/>
      <c r="V1" s="4"/>
      <c r="W1" s="4"/>
    </row>
    <row r="2" spans="1:23" ht="33" customHeight="1">
      <c r="A2" s="608" t="s">
        <v>17</v>
      </c>
      <c r="B2" s="608"/>
      <c r="C2" s="608"/>
      <c r="D2" s="608"/>
      <c r="E2" s="608"/>
      <c r="F2" s="608"/>
      <c r="G2" s="608"/>
      <c r="V2" s="96"/>
      <c r="W2" s="4"/>
    </row>
    <row r="3" spans="1:23" ht="21.75" customHeight="1">
      <c r="A3" s="611" t="s">
        <v>401</v>
      </c>
      <c r="B3" s="66" t="s">
        <v>104</v>
      </c>
      <c r="C3" s="609" t="s">
        <v>103</v>
      </c>
      <c r="D3" s="609"/>
      <c r="E3" s="609"/>
      <c r="F3" s="609"/>
      <c r="G3" s="609"/>
      <c r="I3" s="108" t="str">
        <f>C3</f>
        <v/>
      </c>
      <c r="J3" s="34" t="s">
        <v>103</v>
      </c>
      <c r="K3" s="34" t="s">
        <v>103</v>
      </c>
      <c r="V3" s="97"/>
      <c r="W3" s="4"/>
    </row>
    <row r="4" spans="1:23" ht="21.95" customHeight="1">
      <c r="A4" s="611"/>
      <c r="B4" s="66" t="s">
        <v>105</v>
      </c>
      <c r="C4" s="610" t="s">
        <v>72</v>
      </c>
      <c r="D4" s="610"/>
      <c r="E4" s="610"/>
      <c r="F4" s="610"/>
      <c r="G4" s="610"/>
      <c r="I4" s="108" t="str">
        <f>C4</f>
        <v>ООО «Испытательная лаборатория «Труд» (Волжский, Волгоградская обл.)</v>
      </c>
      <c r="V4" s="97"/>
      <c r="W4" s="4"/>
    </row>
    <row r="5" spans="1:23" ht="21.95" customHeight="1">
      <c r="A5" s="611"/>
      <c r="B5" s="66" t="s">
        <v>106</v>
      </c>
      <c r="C5" s="610"/>
      <c r="D5" s="610"/>
      <c r="E5" s="610"/>
      <c r="F5" s="610"/>
      <c r="G5" s="610"/>
      <c r="I5" s="108">
        <f>C5</f>
        <v>0</v>
      </c>
      <c r="V5" s="96"/>
      <c r="W5" s="4"/>
    </row>
    <row r="6" spans="1:23" ht="21.95" customHeight="1">
      <c r="A6" s="611"/>
      <c r="B6" s="66" t="s">
        <v>107</v>
      </c>
      <c r="C6" s="610"/>
      <c r="D6" s="610"/>
      <c r="E6" s="610"/>
      <c r="F6" s="610"/>
      <c r="G6" s="610"/>
      <c r="I6" s="108">
        <f>C6</f>
        <v>0</v>
      </c>
      <c r="V6" s="96"/>
      <c r="W6" s="4"/>
    </row>
    <row r="7" spans="1:23" ht="8.1" customHeight="1">
      <c r="A7" s="591"/>
      <c r="B7" s="591"/>
      <c r="C7" s="584"/>
      <c r="D7" s="584"/>
      <c r="E7" s="584"/>
      <c r="F7" s="584"/>
      <c r="G7" s="584"/>
      <c r="V7" s="96"/>
      <c r="W7" s="4"/>
    </row>
    <row r="8" spans="1:23" ht="27" customHeight="1">
      <c r="A8" s="593" t="s">
        <v>108</v>
      </c>
      <c r="B8" s="593"/>
      <c r="C8" s="593"/>
      <c r="D8" s="593"/>
      <c r="E8" s="593"/>
      <c r="F8" s="593"/>
      <c r="G8" s="593"/>
      <c r="I8" s="37"/>
      <c r="V8" s="96"/>
      <c r="W8" s="4"/>
    </row>
    <row r="9" spans="1:23" ht="2.1" customHeight="1">
      <c r="A9" s="4"/>
      <c r="B9" s="4"/>
      <c r="C9" s="4"/>
      <c r="D9" s="4"/>
      <c r="E9" s="4"/>
      <c r="F9" s="4"/>
      <c r="G9" s="4"/>
      <c r="V9" s="96"/>
      <c r="W9" s="4"/>
    </row>
    <row r="10" spans="1:23" ht="18" customHeight="1">
      <c r="A10" s="19" t="s">
        <v>202</v>
      </c>
      <c r="B10" s="20" t="s">
        <v>203</v>
      </c>
      <c r="C10" s="384">
        <v>41883</v>
      </c>
      <c r="D10" s="19" t="s">
        <v>204</v>
      </c>
      <c r="E10" s="277" t="s">
        <v>592</v>
      </c>
      <c r="F10" s="5"/>
      <c r="G10" s="5"/>
      <c r="I10" s="35" t="b">
        <f>C28&gt;K10</f>
        <v>0</v>
      </c>
      <c r="J10" s="35" t="b">
        <f>AND(C10&gt;0,ISBLANK(C28))</f>
        <v>0</v>
      </c>
      <c r="K10" s="82">
        <f>IF(ISBLANK(C10),C28,C10)</f>
        <v>41883</v>
      </c>
      <c r="V10" s="96"/>
      <c r="W10" s="4"/>
    </row>
    <row r="11" spans="1:23" hidden="1">
      <c r="A11" s="2" t="s">
        <v>205</v>
      </c>
      <c r="V11" s="96"/>
      <c r="W11" s="4"/>
    </row>
    <row r="12" spans="1:23" hidden="1">
      <c r="A12" s="2" t="s">
        <v>202</v>
      </c>
      <c r="V12" s="96"/>
      <c r="W12" s="4"/>
    </row>
    <row r="13" spans="1:23" hidden="1">
      <c r="A13" s="2" t="s">
        <v>206</v>
      </c>
      <c r="V13" s="96"/>
      <c r="W13" s="4"/>
    </row>
    <row r="14" spans="1:23" ht="15" customHeight="1" thickBot="1">
      <c r="A14" s="596" t="str">
        <f>IF(J10=TRUE,"Не указаны реквизиты приказа, который стал основанием для проведения аттестации! Заполните первую строку данных после таблицы","")</f>
        <v/>
      </c>
      <c r="B14" s="596"/>
      <c r="C14" s="596"/>
      <c r="D14" s="596"/>
      <c r="E14" s="596"/>
      <c r="F14" s="596"/>
      <c r="G14" s="596"/>
      <c r="H14" s="311"/>
      <c r="I14" s="37"/>
      <c r="V14" s="96"/>
      <c r="W14" s="4"/>
    </row>
    <row r="15" spans="1:23" ht="34.5" customHeight="1">
      <c r="A15" s="597" t="s">
        <v>207</v>
      </c>
      <c r="B15" s="599" t="s">
        <v>208</v>
      </c>
      <c r="C15" s="601" t="s">
        <v>209</v>
      </c>
      <c r="D15" s="601" t="s">
        <v>466</v>
      </c>
      <c r="E15" s="601"/>
      <c r="F15" s="601"/>
      <c r="G15" s="603"/>
      <c r="I15" s="26">
        <f>SUM(C17:C22)</f>
        <v>47</v>
      </c>
      <c r="J15" s="26">
        <f>SUM(D17:D22)</f>
        <v>61</v>
      </c>
      <c r="K15" s="26">
        <f>SUM(E17:E22)</f>
        <v>55</v>
      </c>
      <c r="L15" s="26">
        <f>SUM(F17:F22)</f>
        <v>0</v>
      </c>
      <c r="M15" s="26">
        <f>SUM(G17:G22)</f>
        <v>0</v>
      </c>
      <c r="V15" s="97"/>
      <c r="W15" s="4"/>
    </row>
    <row r="16" spans="1:23" ht="39" customHeight="1" thickBot="1">
      <c r="A16" s="598"/>
      <c r="B16" s="600"/>
      <c r="C16" s="602"/>
      <c r="D16" s="162" t="s">
        <v>211</v>
      </c>
      <c r="E16" s="163" t="s">
        <v>212</v>
      </c>
      <c r="F16" s="163" t="s">
        <v>213</v>
      </c>
      <c r="G16" s="164" t="s">
        <v>214</v>
      </c>
      <c r="I16" s="26">
        <f>Титул!C9</f>
        <v>47</v>
      </c>
      <c r="J16" s="26">
        <f>Титул!C11</f>
        <v>61</v>
      </c>
      <c r="K16" s="26">
        <f>Титул!C12</f>
        <v>55</v>
      </c>
      <c r="L16" s="26">
        <f>Титул!C13</f>
        <v>0</v>
      </c>
      <c r="M16" s="26">
        <f>Титул!C14</f>
        <v>0</v>
      </c>
      <c r="O16" s="37"/>
      <c r="V16" s="96"/>
      <c r="W16" s="4"/>
    </row>
    <row r="17" spans="1:23" ht="30" customHeight="1" thickTop="1">
      <c r="A17" s="182" t="s">
        <v>215</v>
      </c>
      <c r="B17" s="173" t="s">
        <v>216</v>
      </c>
      <c r="C17" s="174">
        <v>9</v>
      </c>
      <c r="D17" s="175">
        <v>12</v>
      </c>
      <c r="E17" s="174">
        <v>7</v>
      </c>
      <c r="F17" s="175"/>
      <c r="G17" s="176"/>
      <c r="H17" s="311"/>
      <c r="I17" s="156" t="b">
        <f t="shared" ref="I17:I22" si="0">AND(C17&lt;=$I$16,$I$31&gt;=0)</f>
        <v>1</v>
      </c>
      <c r="J17" s="156" t="b">
        <f t="shared" ref="J17:J22" si="1">AND(D17&lt;=$J$16,$J$31&gt;=0,Q17=FALSE)</f>
        <v>1</v>
      </c>
      <c r="K17" s="156" t="b">
        <f t="shared" ref="K17:K22" si="2">AND(E17&lt;=$K$16,$K$31&gt;=0,Q17=FALSE)</f>
        <v>1</v>
      </c>
      <c r="L17" s="156" t="b">
        <f t="shared" ref="L17:L22" si="3">AND(F17&lt;=$L$16,$L$31&gt;=0,Q17=FALSE)</f>
        <v>1</v>
      </c>
      <c r="M17" s="156" t="b">
        <f t="shared" ref="M17:M22" si="4">AND(G17&lt;=$M$16,$M$31&gt;=0,Q17=FALSE)</f>
        <v>1</v>
      </c>
      <c r="N17" s="157" t="b">
        <f>E17&gt;D17</f>
        <v>0</v>
      </c>
      <c r="O17" s="157" t="b">
        <f>F17&gt;D17</f>
        <v>0</v>
      </c>
      <c r="P17" s="157" t="b">
        <f>G17&gt;D17</f>
        <v>0</v>
      </c>
      <c r="Q17" s="158" t="b">
        <f>AND(C17=0,SUM(D17:G17)&gt;C17)</f>
        <v>0</v>
      </c>
      <c r="R17" s="291" t="b">
        <f t="shared" ref="R17:R22" si="5">IF(AND($I$16=$I$15,J17=TRUE),$J$16=$J$15,TRUE)</f>
        <v>1</v>
      </c>
      <c r="S17" s="291" t="b">
        <f t="shared" ref="S17:S22" si="6">IF(AND($I$16=$I$15,K17=TRUE),$K$16=$K$15,TRUE)</f>
        <v>1</v>
      </c>
      <c r="T17" s="291" t="b">
        <f t="shared" ref="T17:T22" si="7">IF(AND($I$16=$I$15,L17=TRUE),$L$16=$L$15,TRUE)</f>
        <v>1</v>
      </c>
      <c r="U17" s="291" t="b">
        <f t="shared" ref="U17:U22" si="8">IF(AND($I$16=$I$15,M17=TRUE),$M$16=$M$15,TRUE)</f>
        <v>1</v>
      </c>
      <c r="V17" s="96"/>
      <c r="W17" s="4"/>
    </row>
    <row r="18" spans="1:23" ht="30" customHeight="1">
      <c r="A18" s="585" t="s">
        <v>217</v>
      </c>
      <c r="B18" s="169" t="s">
        <v>218</v>
      </c>
      <c r="C18" s="170">
        <v>32</v>
      </c>
      <c r="D18" s="171">
        <v>42</v>
      </c>
      <c r="E18" s="170">
        <v>41</v>
      </c>
      <c r="F18" s="171"/>
      <c r="G18" s="172"/>
      <c r="H18" s="311"/>
      <c r="I18" s="156" t="b">
        <f t="shared" si="0"/>
        <v>1</v>
      </c>
      <c r="J18" s="156" t="b">
        <f t="shared" si="1"/>
        <v>1</v>
      </c>
      <c r="K18" s="156" t="b">
        <f t="shared" si="2"/>
        <v>1</v>
      </c>
      <c r="L18" s="156" t="b">
        <f t="shared" si="3"/>
        <v>1</v>
      </c>
      <c r="M18" s="156" t="b">
        <f t="shared" si="4"/>
        <v>1</v>
      </c>
      <c r="N18" s="157" t="b">
        <f t="shared" ref="N18:N26" si="9">E18&gt;D18</f>
        <v>0</v>
      </c>
      <c r="O18" s="157" t="b">
        <f t="shared" ref="O18:O26" si="10">F18&gt;D18</f>
        <v>0</v>
      </c>
      <c r="P18" s="157" t="b">
        <f t="shared" ref="P18:P26" si="11">G18&gt;D18</f>
        <v>0</v>
      </c>
      <c r="Q18" s="158" t="b">
        <f t="shared" ref="Q18:Q26" si="12">AND(C18=0,SUM(D18:G18)&gt;C18)</f>
        <v>0</v>
      </c>
      <c r="R18" s="291" t="b">
        <f t="shared" si="5"/>
        <v>1</v>
      </c>
      <c r="S18" s="291" t="b">
        <f t="shared" si="6"/>
        <v>1</v>
      </c>
      <c r="T18" s="291" t="b">
        <f t="shared" si="7"/>
        <v>1</v>
      </c>
      <c r="U18" s="291" t="b">
        <f t="shared" si="8"/>
        <v>1</v>
      </c>
      <c r="V18" s="96"/>
      <c r="W18" s="4"/>
    </row>
    <row r="19" spans="1:23" ht="30" customHeight="1">
      <c r="A19" s="586"/>
      <c r="B19" s="177" t="s">
        <v>219</v>
      </c>
      <c r="C19" s="178">
        <v>4</v>
      </c>
      <c r="D19" s="179">
        <v>4</v>
      </c>
      <c r="E19" s="178">
        <v>4</v>
      </c>
      <c r="F19" s="179"/>
      <c r="G19" s="180"/>
      <c r="H19" s="311"/>
      <c r="I19" s="156" t="b">
        <f t="shared" si="0"/>
        <v>1</v>
      </c>
      <c r="J19" s="156" t="b">
        <f t="shared" si="1"/>
        <v>1</v>
      </c>
      <c r="K19" s="156" t="b">
        <f t="shared" si="2"/>
        <v>1</v>
      </c>
      <c r="L19" s="156" t="b">
        <f t="shared" si="3"/>
        <v>1</v>
      </c>
      <c r="M19" s="156" t="b">
        <f t="shared" si="4"/>
        <v>1</v>
      </c>
      <c r="N19" s="157" t="b">
        <f t="shared" si="9"/>
        <v>0</v>
      </c>
      <c r="O19" s="157" t="b">
        <f t="shared" si="10"/>
        <v>0</v>
      </c>
      <c r="P19" s="157" t="b">
        <f t="shared" si="11"/>
        <v>0</v>
      </c>
      <c r="Q19" s="158" t="b">
        <f t="shared" si="12"/>
        <v>0</v>
      </c>
      <c r="R19" s="291" t="b">
        <f t="shared" si="5"/>
        <v>1</v>
      </c>
      <c r="S19" s="291" t="b">
        <f t="shared" si="6"/>
        <v>1</v>
      </c>
      <c r="T19" s="291" t="b">
        <f t="shared" si="7"/>
        <v>1</v>
      </c>
      <c r="U19" s="291" t="b">
        <f t="shared" si="8"/>
        <v>1</v>
      </c>
      <c r="V19" s="96"/>
      <c r="W19" s="4"/>
    </row>
    <row r="20" spans="1:23" ht="30" customHeight="1">
      <c r="A20" s="586"/>
      <c r="B20" s="169" t="s">
        <v>220</v>
      </c>
      <c r="C20" s="170">
        <v>2</v>
      </c>
      <c r="D20" s="171">
        <v>3</v>
      </c>
      <c r="E20" s="170">
        <v>3</v>
      </c>
      <c r="F20" s="171"/>
      <c r="G20" s="172"/>
      <c r="H20" s="311"/>
      <c r="I20" s="156" t="b">
        <f t="shared" si="0"/>
        <v>1</v>
      </c>
      <c r="J20" s="156" t="b">
        <f t="shared" si="1"/>
        <v>1</v>
      </c>
      <c r="K20" s="156" t="b">
        <f t="shared" si="2"/>
        <v>1</v>
      </c>
      <c r="L20" s="156" t="b">
        <f t="shared" si="3"/>
        <v>1</v>
      </c>
      <c r="M20" s="156" t="b">
        <f t="shared" si="4"/>
        <v>1</v>
      </c>
      <c r="N20" s="157" t="b">
        <f t="shared" si="9"/>
        <v>0</v>
      </c>
      <c r="O20" s="157" t="b">
        <f t="shared" si="10"/>
        <v>0</v>
      </c>
      <c r="P20" s="157" t="b">
        <f t="shared" si="11"/>
        <v>0</v>
      </c>
      <c r="Q20" s="158" t="b">
        <f t="shared" si="12"/>
        <v>0</v>
      </c>
      <c r="R20" s="291" t="b">
        <f t="shared" si="5"/>
        <v>1</v>
      </c>
      <c r="S20" s="291" t="b">
        <f t="shared" si="6"/>
        <v>1</v>
      </c>
      <c r="T20" s="291" t="b">
        <f t="shared" si="7"/>
        <v>1</v>
      </c>
      <c r="U20" s="291" t="b">
        <f t="shared" si="8"/>
        <v>1</v>
      </c>
      <c r="V20" s="96"/>
      <c r="W20" s="4"/>
    </row>
    <row r="21" spans="1:23" ht="30" customHeight="1">
      <c r="A21" s="587"/>
      <c r="B21" s="177" t="s">
        <v>221</v>
      </c>
      <c r="C21" s="178"/>
      <c r="D21" s="179"/>
      <c r="E21" s="178"/>
      <c r="F21" s="179"/>
      <c r="G21" s="180"/>
      <c r="H21" s="311"/>
      <c r="I21" s="156" t="b">
        <f t="shared" si="0"/>
        <v>1</v>
      </c>
      <c r="J21" s="156" t="b">
        <f t="shared" si="1"/>
        <v>1</v>
      </c>
      <c r="K21" s="156" t="b">
        <f t="shared" si="2"/>
        <v>1</v>
      </c>
      <c r="L21" s="156" t="b">
        <f t="shared" si="3"/>
        <v>1</v>
      </c>
      <c r="M21" s="156" t="b">
        <f t="shared" si="4"/>
        <v>1</v>
      </c>
      <c r="N21" s="157" t="b">
        <f t="shared" si="9"/>
        <v>0</v>
      </c>
      <c r="O21" s="157" t="b">
        <f t="shared" si="10"/>
        <v>0</v>
      </c>
      <c r="P21" s="157" t="b">
        <f t="shared" si="11"/>
        <v>0</v>
      </c>
      <c r="Q21" s="158" t="b">
        <f t="shared" si="12"/>
        <v>0</v>
      </c>
      <c r="R21" s="291" t="b">
        <f t="shared" si="5"/>
        <v>1</v>
      </c>
      <c r="S21" s="291" t="b">
        <f t="shared" si="6"/>
        <v>1</v>
      </c>
      <c r="T21" s="291" t="b">
        <f t="shared" si="7"/>
        <v>1</v>
      </c>
      <c r="U21" s="291" t="b">
        <f t="shared" si="8"/>
        <v>1</v>
      </c>
      <c r="V21" s="96"/>
      <c r="W21" s="4"/>
    </row>
    <row r="22" spans="1:23" ht="30" customHeight="1">
      <c r="A22" s="183" t="s">
        <v>222</v>
      </c>
      <c r="B22" s="181">
        <v>4</v>
      </c>
      <c r="C22" s="170"/>
      <c r="D22" s="171"/>
      <c r="E22" s="170"/>
      <c r="F22" s="171"/>
      <c r="G22" s="172"/>
      <c r="H22" s="311"/>
      <c r="I22" s="156" t="b">
        <f t="shared" si="0"/>
        <v>1</v>
      </c>
      <c r="J22" s="156" t="b">
        <f t="shared" si="1"/>
        <v>1</v>
      </c>
      <c r="K22" s="156" t="b">
        <f t="shared" si="2"/>
        <v>1</v>
      </c>
      <c r="L22" s="156" t="b">
        <f t="shared" si="3"/>
        <v>1</v>
      </c>
      <c r="M22" s="156" t="b">
        <f t="shared" si="4"/>
        <v>1</v>
      </c>
      <c r="N22" s="157" t="b">
        <f t="shared" si="9"/>
        <v>0</v>
      </c>
      <c r="O22" s="157" t="b">
        <f t="shared" si="10"/>
        <v>0</v>
      </c>
      <c r="P22" s="157" t="b">
        <f t="shared" si="11"/>
        <v>0</v>
      </c>
      <c r="Q22" s="158" t="b">
        <f t="shared" si="12"/>
        <v>0</v>
      </c>
      <c r="R22" s="291" t="b">
        <f t="shared" si="5"/>
        <v>1</v>
      </c>
      <c r="S22" s="291" t="b">
        <f t="shared" si="6"/>
        <v>1</v>
      </c>
      <c r="T22" s="291" t="b">
        <f t="shared" si="7"/>
        <v>1</v>
      </c>
      <c r="U22" s="291" t="b">
        <f t="shared" si="8"/>
        <v>1</v>
      </c>
      <c r="V22" s="98"/>
      <c r="W22" s="4"/>
    </row>
    <row r="23" spans="1:23" ht="30" customHeight="1" thickBot="1">
      <c r="A23" s="613" t="s">
        <v>223</v>
      </c>
      <c r="B23" s="614"/>
      <c r="C23" s="292"/>
      <c r="D23" s="293"/>
      <c r="E23" s="292"/>
      <c r="F23" s="293"/>
      <c r="G23" s="294"/>
      <c r="H23" s="311"/>
      <c r="I23" s="156" t="b">
        <f>AND(C23&lt;=I16,C23&lt;=SUM(C17:C22))</f>
        <v>1</v>
      </c>
      <c r="J23" s="156" t="b">
        <f>AND(D23&lt;=J16,D23&lt;=SUM(D17:D22),Q23=FALSE)</f>
        <v>1</v>
      </c>
      <c r="K23" s="156" t="b">
        <f>AND(E23&lt;=K16,E23&lt;=SUM(E17:E22),Q23=FALSE)</f>
        <v>1</v>
      </c>
      <c r="L23" s="156" t="b">
        <f>AND(F23&lt;=L16,F23&lt;=SUM(F17:F22),Q23=FALSE)</f>
        <v>1</v>
      </c>
      <c r="M23" s="156" t="b">
        <f>AND(G23&lt;=M16,G23&lt;=SUM(G17:G22),Q23=FALSE)</f>
        <v>1</v>
      </c>
      <c r="N23" s="157" t="b">
        <f t="shared" si="9"/>
        <v>0</v>
      </c>
      <c r="O23" s="157" t="b">
        <f t="shared" si="10"/>
        <v>0</v>
      </c>
      <c r="P23" s="157" t="b">
        <f t="shared" si="11"/>
        <v>0</v>
      </c>
      <c r="Q23" s="158" t="b">
        <f t="shared" si="12"/>
        <v>0</v>
      </c>
      <c r="R23" s="291" t="b">
        <f>IF(AND($I$16=$I$15,OR(I24,I25,I26)=TRUE),I16=(C24+C25+C26),TRUE)</f>
        <v>1</v>
      </c>
      <c r="S23" s="291"/>
      <c r="T23" s="291"/>
      <c r="U23" s="291"/>
      <c r="V23" s="98"/>
      <c r="W23" s="4"/>
    </row>
    <row r="24" spans="1:23" ht="30" customHeight="1" thickTop="1">
      <c r="A24" s="604" t="s">
        <v>15</v>
      </c>
      <c r="B24" s="605"/>
      <c r="C24" s="279">
        <v>47</v>
      </c>
      <c r="D24" s="280">
        <v>61</v>
      </c>
      <c r="E24" s="281">
        <v>55</v>
      </c>
      <c r="F24" s="280"/>
      <c r="G24" s="282"/>
      <c r="H24" s="311"/>
      <c r="I24" s="156" t="b">
        <f>AND(C24&lt;=I16,C24&lt;=SUM(C17:C22),(C24+C25+C26)&lt;=SUM(C17:C22))</f>
        <v>1</v>
      </c>
      <c r="J24" s="156" t="b">
        <f>AND(D24&lt;=J16,D24&lt;=SUM(D17:D22),(D24+D25+D26)&lt;=SUM(D17:D22),Q24=FALSE)</f>
        <v>1</v>
      </c>
      <c r="K24" s="156" t="b">
        <f>AND(E24&lt;=K16,E24&lt;=SUM(E17:E22),(E24+E25+E26)&lt;=SUM(E17:E22),Q24=FALSE)</f>
        <v>1</v>
      </c>
      <c r="L24" s="156" t="b">
        <f>AND(F24&lt;=L16,F24&lt;=SUM(F17:F22),(F24+F25+F26)&lt;=SUM(F17:F22),Q24=FALSE)</f>
        <v>1</v>
      </c>
      <c r="M24" s="156" t="b">
        <f>AND(G24&lt;=M16,G24&lt;=SUM(G17:G22),(G24+G25+G26)&lt;=SUM(G17:G22),Q24=FALSE)</f>
        <v>1</v>
      </c>
      <c r="N24" s="157" t="b">
        <f t="shared" si="9"/>
        <v>0</v>
      </c>
      <c r="O24" s="157" t="b">
        <f t="shared" si="10"/>
        <v>0</v>
      </c>
      <c r="P24" s="157" t="b">
        <f t="shared" si="11"/>
        <v>0</v>
      </c>
      <c r="Q24" s="158" t="b">
        <f t="shared" si="12"/>
        <v>0</v>
      </c>
      <c r="R24" s="291" t="b">
        <f>IF(AND($I$16=$I$15,J24=TRUE),$J$16=($D$24+$D$25+$D$26),TRUE)</f>
        <v>1</v>
      </c>
      <c r="S24" s="291" t="b">
        <f>IF(AND($I$16=$I$15,K24=TRUE),$K$16=($E$24+$E$25+$E$26),TRUE)</f>
        <v>1</v>
      </c>
      <c r="T24" s="291" t="b">
        <f>IF(AND($I$16=$I$15,L24=TRUE),$L$16=($F$24+$F$25+$F$26),TRUE)</f>
        <v>1</v>
      </c>
      <c r="U24" s="291" t="b">
        <f>IF(AND($I$16=$I$15,M24=TRUE),$M$16=($G$24+$G$25+$G$26),TRUE)</f>
        <v>1</v>
      </c>
      <c r="V24" s="98"/>
      <c r="W24" s="4"/>
    </row>
    <row r="25" spans="1:23" ht="30" customHeight="1">
      <c r="A25" s="594" t="s">
        <v>16</v>
      </c>
      <c r="B25" s="595"/>
      <c r="C25" s="273"/>
      <c r="D25" s="274"/>
      <c r="E25" s="275"/>
      <c r="F25" s="274"/>
      <c r="G25" s="276"/>
      <c r="H25" s="311"/>
      <c r="I25" s="156" t="b">
        <f>AND(C25&lt;=I16,C25&lt;=SUM(C17:C22),(C24+C25+C26)&lt;=SUM(C17:C22))</f>
        <v>1</v>
      </c>
      <c r="J25" s="156" t="b">
        <f>AND(D25&lt;=J16,D25&lt;=SUM(D17:D22),(D24+D25+D26)&lt;=SUM(D17:D22),Q25=FALSE)</f>
        <v>1</v>
      </c>
      <c r="K25" s="156" t="b">
        <f>AND(E25&lt;=K16,E25&lt;=SUM(E17:E22),(E24+E25+E26)&lt;=SUM(E17:E22),Q25=FALSE)</f>
        <v>1</v>
      </c>
      <c r="L25" s="156" t="b">
        <f>AND(F25&lt;=L16,F25&lt;=SUM(F17:F22),(F24+F25+F26)&lt;=SUM(F17:F22),Q25=FALSE)</f>
        <v>1</v>
      </c>
      <c r="M25" s="156" t="b">
        <f>AND(G25&lt;=M16,G25&lt;=SUM(G17:G22),(G24+G25+G26)&lt;=SUM(G17:G22),Q25=FALSE)</f>
        <v>1</v>
      </c>
      <c r="N25" s="157" t="b">
        <f t="shared" si="9"/>
        <v>0</v>
      </c>
      <c r="O25" s="157" t="b">
        <f t="shared" si="10"/>
        <v>0</v>
      </c>
      <c r="P25" s="157" t="b">
        <f t="shared" si="11"/>
        <v>0</v>
      </c>
      <c r="Q25" s="158" t="b">
        <f t="shared" si="12"/>
        <v>0</v>
      </c>
      <c r="R25" s="291" t="b">
        <f>IF(AND($I$16=$I$15,J25=TRUE),$J$16=($D$24+$D$25+$D$26),TRUE)</f>
        <v>1</v>
      </c>
      <c r="S25" s="291" t="b">
        <f>IF(AND($I$16=$I$15,K25=TRUE),$K$16=($E$24+$E$25+$E$26),TRUE)</f>
        <v>1</v>
      </c>
      <c r="T25" s="291" t="b">
        <f>IF(AND($I$16=$I$15,L25=TRUE),$L$16=($F$24+$F$25+$F$26),TRUE)</f>
        <v>1</v>
      </c>
      <c r="U25" s="291" t="b">
        <f>IF(AND($I$16=$I$15,M25=TRUE),$M$16=($G$24+$G$25+$G$26),TRUE)</f>
        <v>1</v>
      </c>
      <c r="V25" s="98"/>
      <c r="W25" s="4"/>
    </row>
    <row r="26" spans="1:23" ht="30" customHeight="1" thickBot="1">
      <c r="A26" s="588" t="s">
        <v>398</v>
      </c>
      <c r="B26" s="589"/>
      <c r="C26" s="165"/>
      <c r="D26" s="166"/>
      <c r="E26" s="167"/>
      <c r="F26" s="166"/>
      <c r="G26" s="168"/>
      <c r="H26" s="311"/>
      <c r="I26" s="156" t="b">
        <f>AND(C26&lt;=I16,C26&lt;=SUM(C17:C22),(C24+C25+C26)&lt;=SUM(C17:C22))</f>
        <v>1</v>
      </c>
      <c r="J26" s="156" t="b">
        <f>AND(D26&lt;=J16,D26&lt;=SUM(D17:D22),(D24+D25+D26)&lt;=SUM(D17:D22),Q26=FALSE)</f>
        <v>1</v>
      </c>
      <c r="K26" s="156" t="b">
        <f>AND(E26&lt;=K16,E26&lt;=SUM(E17:E22),(E24+E25+E26)&lt;=SUM(E17:E22),Q26=FALSE)</f>
        <v>1</v>
      </c>
      <c r="L26" s="156" t="b">
        <f>AND(F26&lt;=L16,F26&lt;=SUM(F17:F22),(F24+F25+F26)&lt;=SUM(F17:F22),Q26=FALSE)</f>
        <v>1</v>
      </c>
      <c r="M26" s="156" t="b">
        <f>AND(G26&lt;=M16,G26&lt;=SUM(G17:G22),(G24+G25+G26)&lt;=SUM(G17:G22),Q26=FALSE)</f>
        <v>1</v>
      </c>
      <c r="N26" s="157" t="b">
        <f t="shared" si="9"/>
        <v>0</v>
      </c>
      <c r="O26" s="157" t="b">
        <f t="shared" si="10"/>
        <v>0</v>
      </c>
      <c r="P26" s="157" t="b">
        <f t="shared" si="11"/>
        <v>0</v>
      </c>
      <c r="Q26" s="158" t="b">
        <f t="shared" si="12"/>
        <v>0</v>
      </c>
      <c r="R26" s="291" t="b">
        <f>IF(AND($I$16=$I$15,J26=TRUE),$J$16=($D$24+$D$25+$D$26),TRUE)</f>
        <v>1</v>
      </c>
      <c r="S26" s="291" t="b">
        <f>IF(AND($I$16=$I$15,K26=TRUE),$K$16=($E$24+$E$25+$E$26),TRUE)</f>
        <v>1</v>
      </c>
      <c r="T26" s="291" t="b">
        <f>IF(AND($I$16=$I$15,L26=TRUE),$L$16=($F$24+$F$25+$F$26),TRUE)</f>
        <v>1</v>
      </c>
      <c r="U26" s="291" t="b">
        <f>IF(AND($I$16=$I$15,M26=TRUE),$M$16=($G$24+$G$25+$G$26),TRUE)</f>
        <v>1</v>
      </c>
      <c r="V26" s="4"/>
      <c r="W26" s="4"/>
    </row>
    <row r="27" spans="1:23" ht="41.25" customHeight="1">
      <c r="A27" s="590" t="s">
        <v>399</v>
      </c>
      <c r="B27" s="590"/>
      <c r="C27" s="590"/>
      <c r="D27" s="590"/>
      <c r="E27" s="590"/>
      <c r="F27" s="590"/>
      <c r="G27" s="590"/>
      <c r="V27" s="4"/>
      <c r="W27" s="4"/>
    </row>
    <row r="28" spans="1:23" ht="15" customHeight="1">
      <c r="A28" s="19" t="s">
        <v>88</v>
      </c>
      <c r="B28" s="20" t="s">
        <v>203</v>
      </c>
      <c r="C28" s="383">
        <v>41723</v>
      </c>
      <c r="D28" s="19" t="s">
        <v>204</v>
      </c>
      <c r="E28" s="277" t="s">
        <v>588</v>
      </c>
      <c r="F28" s="5"/>
      <c r="G28" s="5"/>
      <c r="I28" s="64" t="b">
        <f>C28&gt;J29</f>
        <v>0</v>
      </c>
      <c r="J28" s="65"/>
      <c r="K28" s="65"/>
      <c r="L28" s="65"/>
      <c r="O28" s="81"/>
      <c r="V28" s="4"/>
      <c r="W28" s="4"/>
    </row>
    <row r="29" spans="1:23" ht="37.5" customHeight="1">
      <c r="A29" s="592" t="s">
        <v>400</v>
      </c>
      <c r="B29" s="592"/>
      <c r="C29" s="592"/>
      <c r="D29" s="592"/>
      <c r="E29" s="592"/>
      <c r="F29" s="592"/>
      <c r="G29" s="592"/>
      <c r="I29" s="65" t="b">
        <f>ISBLANK(C10)</f>
        <v>0</v>
      </c>
      <c r="J29" s="80">
        <f>IF(ISBLANK(C30),C28,C30)</f>
        <v>41723</v>
      </c>
      <c r="K29" s="65"/>
      <c r="L29" s="65"/>
      <c r="M29" s="80"/>
      <c r="V29" s="4"/>
      <c r="W29" s="4"/>
    </row>
    <row r="30" spans="1:23" ht="15" customHeight="1">
      <c r="A30" s="19" t="s">
        <v>88</v>
      </c>
      <c r="B30" s="20" t="s">
        <v>203</v>
      </c>
      <c r="C30" s="278"/>
      <c r="D30" s="19" t="s">
        <v>204</v>
      </c>
      <c r="E30" s="277"/>
      <c r="F30" s="5"/>
      <c r="G30" s="5"/>
      <c r="I30" s="64"/>
      <c r="J30" s="65"/>
      <c r="V30" s="4"/>
      <c r="W30" s="4"/>
    </row>
    <row r="31" spans="1:23" ht="24" customHeight="1">
      <c r="A31" s="583"/>
      <c r="B31" s="583"/>
      <c r="C31" s="583"/>
      <c r="D31" s="583"/>
      <c r="E31" s="583"/>
      <c r="F31" s="583"/>
      <c r="G31" s="583"/>
      <c r="I31" s="36">
        <f>I16-SUM(C17:C22)</f>
        <v>0</v>
      </c>
      <c r="J31" s="36">
        <f>J16-SUM(D17:D22)</f>
        <v>0</v>
      </c>
      <c r="K31" s="36">
        <f>K16-SUM(E17:E22)</f>
        <v>0</v>
      </c>
      <c r="L31" s="36">
        <f>L16-SUM(F17:F22)</f>
        <v>0</v>
      </c>
      <c r="M31" s="36">
        <f>M16-SUM(G17:G22)</f>
        <v>0</v>
      </c>
      <c r="V31" s="4"/>
      <c r="W31" s="4"/>
    </row>
    <row r="32" spans="1:23" ht="52.5" customHeight="1">
      <c r="A32" s="580" t="s">
        <v>490</v>
      </c>
      <c r="B32" s="580"/>
      <c r="C32" s="580"/>
      <c r="D32" s="580"/>
      <c r="E32" s="580"/>
      <c r="F32" s="580"/>
      <c r="G32" s="580"/>
      <c r="I32" s="36"/>
      <c r="J32" s="36"/>
      <c r="K32" s="36"/>
      <c r="L32" s="36"/>
      <c r="M32" s="36"/>
      <c r="V32" s="4"/>
      <c r="W32" s="4"/>
    </row>
    <row r="33" spans="1:23" ht="18" customHeight="1">
      <c r="A33" s="612"/>
      <c r="B33" s="612"/>
      <c r="C33" s="612"/>
      <c r="D33" s="612"/>
      <c r="E33" s="612"/>
      <c r="F33" s="612"/>
      <c r="G33" s="612"/>
      <c r="H33" s="311"/>
      <c r="I33" s="36"/>
      <c r="J33" s="36"/>
      <c r="K33" s="36"/>
      <c r="L33" s="36"/>
      <c r="M33" s="36"/>
      <c r="V33" s="4"/>
      <c r="W33" s="4"/>
    </row>
    <row r="34" spans="1:23" ht="18" customHeight="1">
      <c r="A34" s="612"/>
      <c r="B34" s="612"/>
      <c r="C34" s="612"/>
      <c r="D34" s="612"/>
      <c r="E34" s="612"/>
      <c r="F34" s="612"/>
      <c r="G34" s="612"/>
      <c r="H34" s="311"/>
      <c r="I34" s="36"/>
      <c r="J34" s="36"/>
      <c r="K34" s="36"/>
      <c r="L34" s="36"/>
      <c r="M34" s="36"/>
      <c r="V34" s="4"/>
      <c r="W34" s="4"/>
    </row>
    <row r="35" spans="1:23" ht="18" customHeight="1">
      <c r="A35" s="612"/>
      <c r="B35" s="612"/>
      <c r="C35" s="612"/>
      <c r="D35" s="612"/>
      <c r="E35" s="612"/>
      <c r="F35" s="612"/>
      <c r="G35" s="612"/>
      <c r="H35" s="311"/>
      <c r="I35" s="36"/>
      <c r="J35" s="36"/>
      <c r="K35" s="36"/>
      <c r="L35" s="36"/>
      <c r="M35" s="36"/>
      <c r="V35" s="4"/>
      <c r="W35" s="4"/>
    </row>
    <row r="36" spans="1:23" ht="18" customHeight="1">
      <c r="A36" s="612"/>
      <c r="B36" s="612"/>
      <c r="C36" s="612"/>
      <c r="D36" s="612"/>
      <c r="E36" s="612"/>
      <c r="F36" s="612"/>
      <c r="G36" s="612"/>
      <c r="H36" s="311"/>
      <c r="I36" s="36"/>
      <c r="J36" s="36"/>
      <c r="K36" s="36"/>
      <c r="L36" s="36"/>
      <c r="M36" s="36"/>
      <c r="V36" s="4"/>
      <c r="W36" s="4"/>
    </row>
    <row r="37" spans="1:23" ht="15.75" customHeight="1">
      <c r="A37" s="377"/>
      <c r="B37" s="377"/>
      <c r="C37" s="377"/>
      <c r="D37" s="377"/>
      <c r="E37" s="377"/>
      <c r="F37" s="377"/>
      <c r="G37" s="377"/>
      <c r="I37" s="36"/>
      <c r="J37" s="36"/>
      <c r="K37" s="36"/>
      <c r="L37" s="36"/>
      <c r="M37" s="36"/>
      <c r="V37" s="4"/>
      <c r="W37" s="4"/>
    </row>
    <row r="38" spans="1:23" s="9" customFormat="1" ht="55.5" customHeight="1">
      <c r="A38" s="615" t="s">
        <v>199</v>
      </c>
      <c r="B38" s="615"/>
      <c r="C38" s="615"/>
      <c r="D38" s="615"/>
      <c r="E38" s="615"/>
      <c r="F38" s="615"/>
      <c r="G38" s="615"/>
      <c r="H38" s="310"/>
      <c r="I38" s="12"/>
      <c r="J38" s="12"/>
      <c r="K38" s="12"/>
      <c r="L38" s="12"/>
      <c r="M38" s="12"/>
      <c r="N38" s="12"/>
      <c r="O38" s="32"/>
      <c r="P38" s="32"/>
      <c r="V38" s="99"/>
      <c r="W38" s="99"/>
    </row>
    <row r="39" spans="1:23" ht="24" customHeight="1">
      <c r="A39" s="616" t="str">
        <f>IF(I39&gt;0,CONCATENATE("УКАЗАТЕЛЬ ОТДЕЛЬНЫХ ОШИБОК ДАННЫХ (замечаний – ",I39," шт.)"),"")</f>
        <v/>
      </c>
      <c r="B39" s="616"/>
      <c r="C39" s="616"/>
      <c r="D39" s="616"/>
      <c r="E39" s="616"/>
      <c r="F39" s="616"/>
      <c r="G39" s="616"/>
      <c r="I39" s="26">
        <f>50-COUNTIF(A40:G89," ")</f>
        <v>0</v>
      </c>
      <c r="J39" s="26"/>
      <c r="K39" s="49" t="s">
        <v>41</v>
      </c>
      <c r="L39" s="26"/>
      <c r="M39" s="12"/>
    </row>
    <row r="40" spans="1:23" ht="31.5" customHeight="1">
      <c r="A40" s="582" t="str">
        <f>IF(OR(C17&gt;I16,C18&gt;I16,C19&gt;I16,C20&gt;I16,C21&gt;I16,C22&gt;I16,C23&gt;I16,C24&gt;I16,C25&gt;I16),CONCATENATE("Количество рабочих мест по одной из характеристик условий труда (",MAX(C17:C25)," р.м.) больше количества всех рабочих мест в организации (",I16," р.м.)!")," ")</f>
        <v xml:space="preserve"> </v>
      </c>
      <c r="B40" s="582"/>
      <c r="C40" s="582"/>
      <c r="D40" s="582"/>
      <c r="E40" s="582"/>
      <c r="F40" s="582"/>
      <c r="G40" s="582"/>
      <c r="I40" s="70" t="s">
        <v>226</v>
      </c>
      <c r="J40" s="26"/>
      <c r="K40" s="26"/>
      <c r="L40" s="26"/>
      <c r="M40" s="12"/>
    </row>
    <row r="41" spans="1:23" ht="31.5" customHeight="1">
      <c r="A41" s="582" t="str">
        <f>IF(OR(D17&gt;J16,D18&gt;J16,D19&gt;J16,D20&gt;J16,D21&gt;J16,D22&gt;J16,D23&gt;J16,D24&gt;J16,D25&gt;J16),CONCATENATE("Численность работников, занятых на рабочих местах с одной из характеристик условий труда (",MAX(D17:D25)," чел.), больше численности всех работников в организации (",J16," чел.)!")," ")</f>
        <v xml:space="preserve"> </v>
      </c>
      <c r="B41" s="582"/>
      <c r="C41" s="582"/>
      <c r="D41" s="582"/>
      <c r="E41" s="582"/>
      <c r="F41" s="582"/>
      <c r="G41" s="582"/>
      <c r="I41" s="71" t="s">
        <v>148</v>
      </c>
    </row>
    <row r="42" spans="1:23" ht="31.5" customHeight="1">
      <c r="A42" s="582" t="str">
        <f>IF(OR(E17&gt;K16,E18&gt;K16,E19&gt;K16,E20&gt;K16,E21&gt;K16,E22&gt;K16,E23&gt;K16,E24&gt;K16,E25&gt;K16),CONCATENATE("Численность женщин, занятых на рабочих местах с одной из характеристик условий труда (",MAX(E17:E25)," чел.), больше численности всех женщин в организации (",K16," чел.)!")," ")</f>
        <v xml:space="preserve"> </v>
      </c>
      <c r="B42" s="582"/>
      <c r="C42" s="582"/>
      <c r="D42" s="582"/>
      <c r="E42" s="582"/>
      <c r="F42" s="582"/>
      <c r="G42" s="582"/>
      <c r="I42" s="71" t="s">
        <v>68</v>
      </c>
    </row>
    <row r="43" spans="1:23" ht="31.5" customHeight="1">
      <c r="A43" s="582" t="str">
        <f>IF(OR(F17&gt;L16,F18&gt;L16,F19&gt;L16,F20&gt;L16,F21&gt;L16,F22&gt;L16,F23&gt;L16,F24&gt;L16,F25&gt;L16),CONCATENATE("Численность лиц моложе 18 лет, занятых на рабочих местах с одной из характеристик условий труда (",MAX(F17:F25)," чел.), больше численности всех лиц моложе 18 лет в организации (",L16," чел.)!")," ")</f>
        <v xml:space="preserve"> </v>
      </c>
      <c r="B43" s="582"/>
      <c r="C43" s="582"/>
      <c r="D43" s="582"/>
      <c r="E43" s="582"/>
      <c r="F43" s="582"/>
      <c r="G43" s="582"/>
      <c r="I43" s="70" t="s">
        <v>149</v>
      </c>
    </row>
    <row r="44" spans="1:23" ht="31.5" customHeight="1">
      <c r="A44" s="582" t="str">
        <f>IF(OR(G17&gt;M16,G18&gt;M16,G19&gt;M16,G20&gt;M16,G21&gt;M16,G22&gt;M16,G23&gt;M16,G24&gt;M16,G25&gt;M16),CONCATENATE("Численность инвалидов, занятых на рабочих местах с одной из характеристик условий труда (",MAX(G17:G25)," чел.), больше численности всех инвалидов в организации (",M16," чел.)!")," ")</f>
        <v xml:space="preserve"> </v>
      </c>
      <c r="B44" s="582"/>
      <c r="C44" s="582"/>
      <c r="D44" s="582"/>
      <c r="E44" s="582"/>
      <c r="F44" s="582"/>
      <c r="G44" s="582"/>
      <c r="I44" s="70" t="s">
        <v>228</v>
      </c>
    </row>
    <row r="45" spans="1:23" ht="31.5" customHeight="1">
      <c r="A45" s="582" t="str">
        <f>IF(SUM(C17:C22)&gt;I16,CONCATENATE("Количество рабочих мест, на которых проведена аттестация (",SUM(C17:C22)," р.м.), больше количества всех рабочих мест в организации (",I16," р.м.)!")," ")</f>
        <v xml:space="preserve"> </v>
      </c>
      <c r="B45" s="582"/>
      <c r="C45" s="582"/>
      <c r="D45" s="582"/>
      <c r="E45" s="582"/>
      <c r="F45" s="582"/>
      <c r="G45" s="582"/>
      <c r="I45" s="70" t="s">
        <v>229</v>
      </c>
    </row>
    <row r="46" spans="1:23" ht="31.5" customHeight="1">
      <c r="A46" s="582" t="str">
        <f>IF(SUM(D17:D22)&gt;J16,CONCATENATE("Численность работников, занятых на аттестованных рабочих местах (",SUM(D17:D22)," чел.), больше численности всех работников в организации (",J16," чел.)!")," ")</f>
        <v xml:space="preserve"> </v>
      </c>
      <c r="B46" s="582"/>
      <c r="C46" s="582"/>
      <c r="D46" s="582"/>
      <c r="E46" s="582"/>
      <c r="F46" s="582"/>
      <c r="G46" s="582"/>
      <c r="I46" s="70" t="s">
        <v>69</v>
      </c>
    </row>
    <row r="47" spans="1:23" ht="31.5" customHeight="1">
      <c r="A47" s="582" t="str">
        <f>IF(SUM(E17:E22)&gt;K16,CONCATENATE("Численность женщин, занятых на аттестованных рабочих местах (",SUM(E17:E22)," чел.), больше численности всех женщин в организации (",K16," чел.)!")," ")</f>
        <v xml:space="preserve"> </v>
      </c>
      <c r="B47" s="582"/>
      <c r="C47" s="582"/>
      <c r="D47" s="582"/>
      <c r="E47" s="582"/>
      <c r="F47" s="582"/>
      <c r="G47" s="582"/>
      <c r="I47" s="70" t="s">
        <v>147</v>
      </c>
    </row>
    <row r="48" spans="1:23" ht="31.5" customHeight="1">
      <c r="A48" s="582" t="str">
        <f>IF(SUM(F17:F22)&gt;L16,CONCATENATE("Численность лиц моложе 18 лет, занятых на аттестованных рабочих местах (",SUM(F17:F22)," чел.), больше численности всех лиц моложе 18 лет в организации (",L16," чел.)!")," ")</f>
        <v xml:space="preserve"> </v>
      </c>
      <c r="B48" s="582"/>
      <c r="C48" s="582"/>
      <c r="D48" s="582"/>
      <c r="E48" s="582"/>
      <c r="F48" s="582"/>
      <c r="G48" s="582"/>
      <c r="I48" s="70" t="s">
        <v>70</v>
      </c>
    </row>
    <row r="49" spans="1:16" s="11" customFormat="1" ht="31.5" customHeight="1">
      <c r="A49" s="582" t="str">
        <f>IF(SUM(G17:G22)&gt;M16,CONCATENATE("Численность инвалидов, занятых на аттестованных рабочих местах (",SUM(G17:G22)," чел.), больше численности всех инвалидов в организации (",M16," чел.)!")," ")</f>
        <v xml:space="preserve"> </v>
      </c>
      <c r="B49" s="582"/>
      <c r="C49" s="582"/>
      <c r="D49" s="582"/>
      <c r="E49" s="582"/>
      <c r="F49" s="582"/>
      <c r="G49" s="582"/>
      <c r="H49" s="310"/>
      <c r="I49" s="70" t="s">
        <v>71</v>
      </c>
      <c r="J49" s="29"/>
      <c r="K49" s="29"/>
      <c r="L49" s="29"/>
      <c r="M49" s="29"/>
      <c r="N49" s="29"/>
      <c r="O49" s="29"/>
      <c r="P49" s="29"/>
    </row>
    <row r="50" spans="1:16" s="11" customFormat="1" ht="31.5" customHeight="1">
      <c r="A50" s="582" t="str">
        <f>IF(SUM(C17:C22)&lt;C23,CONCATENATE("Количество травмоопасных рабочих мест (",C23," р.м.) больше количества рабочих мест, на которых проведена аттестация (",SUM(C17:C22)," р.м.)!")," ")</f>
        <v xml:space="preserve"> </v>
      </c>
      <c r="B50" s="582"/>
      <c r="C50" s="582"/>
      <c r="D50" s="582"/>
      <c r="E50" s="582"/>
      <c r="F50" s="582"/>
      <c r="G50" s="582"/>
      <c r="H50" s="310"/>
      <c r="I50" s="70" t="s">
        <v>227</v>
      </c>
      <c r="J50" s="29"/>
      <c r="K50" s="29"/>
      <c r="L50" s="29"/>
      <c r="M50" s="29"/>
      <c r="N50" s="29"/>
      <c r="O50" s="29"/>
      <c r="P50" s="29"/>
    </row>
    <row r="51" spans="1:16" s="11" customFormat="1" ht="31.5" customHeight="1">
      <c r="A51" s="582" t="str">
        <f>IF(SUM(D17:D22)&lt;D23,CONCATENATE("Численность работников, занятых на травмоопасных рабочих местах (",D23," чел.), больше численности всех работников, на чьих рабочих местах проведена аттестация (",SUM(D17:D22)," чел.)!")," ")</f>
        <v xml:space="preserve"> </v>
      </c>
      <c r="B51" s="582"/>
      <c r="C51" s="582"/>
      <c r="D51" s="582"/>
      <c r="E51" s="582"/>
      <c r="F51" s="582"/>
      <c r="G51" s="582"/>
      <c r="H51" s="310"/>
      <c r="I51" s="70" t="s">
        <v>150</v>
      </c>
      <c r="J51" s="29"/>
      <c r="K51" s="29"/>
      <c r="L51" s="29"/>
      <c r="M51" s="29"/>
      <c r="N51" s="29"/>
      <c r="O51" s="29"/>
      <c r="P51" s="29"/>
    </row>
    <row r="52" spans="1:16" s="11" customFormat="1" ht="31.5" customHeight="1">
      <c r="A52" s="582" t="str">
        <f>IF(SUM(E17:E22)&lt;E23,CONCATENATE("Численность женщин, занятых на травмоопасных рабочих местах (",E23," чел.), больше численности всех работников, на чьих рабочих местах проведена аттестация (",SUM(E17:E22)," чел.)!")," ")</f>
        <v xml:space="preserve"> </v>
      </c>
      <c r="B52" s="582"/>
      <c r="C52" s="582"/>
      <c r="D52" s="582"/>
      <c r="E52" s="582"/>
      <c r="F52" s="582"/>
      <c r="G52" s="582"/>
      <c r="H52" s="310"/>
      <c r="I52" s="70" t="s">
        <v>133</v>
      </c>
      <c r="J52" s="29"/>
      <c r="K52" s="29"/>
      <c r="L52" s="29"/>
      <c r="M52" s="29"/>
      <c r="N52" s="29"/>
      <c r="O52" s="29"/>
      <c r="P52" s="29"/>
    </row>
    <row r="53" spans="1:16" s="11" customFormat="1" ht="31.5" customHeight="1">
      <c r="A53" s="582" t="str">
        <f>IF(SUM(F17:F22)&lt;F23,CONCATENATE("Численность лиц моложе 18 лет, занятых на травмоопасных рабочих местах  (",F23," чел.), больше численности всех работников, на чьих рабочих местах проведена аттестация (",SUM(F17:F22)," чел.)!")," ")</f>
        <v xml:space="preserve"> </v>
      </c>
      <c r="B53" s="582"/>
      <c r="C53" s="582"/>
      <c r="D53" s="582"/>
      <c r="E53" s="582"/>
      <c r="F53" s="582"/>
      <c r="G53" s="582"/>
      <c r="H53" s="310"/>
      <c r="I53" s="71" t="s">
        <v>72</v>
      </c>
      <c r="J53" s="29"/>
      <c r="K53" s="29"/>
      <c r="L53" s="29"/>
      <c r="M53" s="29"/>
      <c r="N53" s="29"/>
      <c r="O53" s="29"/>
      <c r="P53" s="29"/>
    </row>
    <row r="54" spans="1:16" ht="31.5" customHeight="1">
      <c r="A54" s="582" t="str">
        <f>IF(SUM(G17:G22)&lt;G23,CONCATENATE("Численность инвалидов, занятых на травмоопасных рабочих местах (",G23," чел.), больше численности всех работников, на чьих рабочих местах проведена аттестация (",SUM(G17:G22)," чел.)!")," ")</f>
        <v xml:space="preserve"> </v>
      </c>
      <c r="B54" s="582"/>
      <c r="C54" s="582"/>
      <c r="D54" s="582"/>
      <c r="E54" s="582"/>
      <c r="F54" s="582"/>
      <c r="G54" s="582"/>
      <c r="I54" s="70" t="s">
        <v>73</v>
      </c>
    </row>
    <row r="55" spans="1:16" s="11" customFormat="1" ht="31.5" customHeight="1">
      <c r="A55" s="582" t="str">
        <f>IF(SUM(C17:C22)&lt;C24,CONCATENATE("Количество рабочих мест, на которых работники обеспечены СИЗ по нормам (",C24," р.м.), больше количества рабочих мест, на которых проведена аттестация (",SUM(C17:C22)," р.м.)!")," ")</f>
        <v xml:space="preserve"> </v>
      </c>
      <c r="B55" s="582"/>
      <c r="C55" s="582"/>
      <c r="D55" s="582"/>
      <c r="E55" s="582"/>
      <c r="F55" s="582"/>
      <c r="G55" s="582"/>
      <c r="H55" s="310"/>
      <c r="I55" s="70" t="s">
        <v>74</v>
      </c>
      <c r="J55" s="29"/>
      <c r="K55" s="29"/>
      <c r="L55" s="29"/>
      <c r="M55" s="29"/>
      <c r="N55" s="29"/>
      <c r="O55" s="29"/>
      <c r="P55" s="29"/>
    </row>
    <row r="56" spans="1:16" s="11" customFormat="1" ht="31.5" customHeight="1">
      <c r="A56" s="582" t="str">
        <f>IF(SUM(D17:D22)&lt;D24,CONCATENATE("Численность работников, обеспеченных СИЗ по нормам (",D24," чел.), больше численности работников, на чьих рабочих местах проведена аттестация (",SUM(D17:D22)," чел.)!")," ")</f>
        <v xml:space="preserve"> </v>
      </c>
      <c r="B56" s="582"/>
      <c r="C56" s="582"/>
      <c r="D56" s="582"/>
      <c r="E56" s="582"/>
      <c r="F56" s="582"/>
      <c r="G56" s="582"/>
      <c r="H56" s="310"/>
      <c r="I56" s="70" t="s">
        <v>389</v>
      </c>
      <c r="J56" s="29"/>
      <c r="K56" s="29"/>
      <c r="L56" s="29"/>
      <c r="M56" s="29"/>
      <c r="N56" s="29"/>
      <c r="O56" s="29"/>
      <c r="P56" s="29"/>
    </row>
    <row r="57" spans="1:16" s="11" customFormat="1" ht="31.5" customHeight="1">
      <c r="A57" s="582" t="str">
        <f>IF(SUM(E17:E22)&lt;E24,CONCATENATE("Численность женщин, обеспеченных СИЗ по нормам (",E24," чел.), больше численности женщин, на чьих рабочих местах проведена аттестация (",SUM(E17:E22)," чел.)!")," ")</f>
        <v xml:space="preserve"> </v>
      </c>
      <c r="B57" s="582"/>
      <c r="C57" s="582"/>
      <c r="D57" s="582"/>
      <c r="E57" s="582"/>
      <c r="F57" s="582"/>
      <c r="G57" s="582"/>
      <c r="H57" s="310"/>
      <c r="I57" s="70" t="s">
        <v>55</v>
      </c>
      <c r="J57" s="29"/>
      <c r="K57" s="29"/>
      <c r="L57" s="29"/>
      <c r="M57" s="29"/>
      <c r="N57" s="29"/>
      <c r="O57" s="29"/>
      <c r="P57" s="29"/>
    </row>
    <row r="58" spans="1:16" ht="31.5" customHeight="1">
      <c r="A58" s="582" t="str">
        <f>IF(SUM(F17:F22)&lt;F24,CONCATENATE("Численность лиц моложе 18 лет, обеспеченных СИЗ по нормам (",F24," чел.), больше численности лиц моложе 18 лет, на чьих рабочих местах проведена аттестация (",SUM(F17:F22)," чел.)!")," ")</f>
        <v xml:space="preserve"> </v>
      </c>
      <c r="B58" s="582"/>
      <c r="C58" s="582"/>
      <c r="D58" s="582"/>
      <c r="E58" s="582"/>
      <c r="F58" s="582"/>
      <c r="G58" s="582"/>
      <c r="I58" s="70" t="s">
        <v>63</v>
      </c>
    </row>
    <row r="59" spans="1:16" s="11" customFormat="1" ht="31.5" customHeight="1">
      <c r="A59" s="582" t="str">
        <f>IF(SUM(G17:G22)&lt;G24,CONCATENATE("Численность инвалидов, обеспеченных СИЗ по нормам (",G24," чел.), больше численности инвалидов, на чьих рабочих местах проведена аттестация (",SUM(G17:G22)," чел.)!")," ")</f>
        <v xml:space="preserve"> </v>
      </c>
      <c r="B59" s="582"/>
      <c r="C59" s="582"/>
      <c r="D59" s="582"/>
      <c r="E59" s="582"/>
      <c r="F59" s="582"/>
      <c r="G59" s="582"/>
      <c r="H59" s="310"/>
      <c r="I59" s="70" t="s">
        <v>455</v>
      </c>
      <c r="J59" s="29"/>
      <c r="K59" s="29"/>
      <c r="L59" s="29"/>
      <c r="M59" s="29"/>
      <c r="N59" s="29"/>
      <c r="O59" s="29"/>
      <c r="P59" s="29"/>
    </row>
    <row r="60" spans="1:16" s="11" customFormat="1" ht="31.5" customHeight="1">
      <c r="A60" s="582" t="str">
        <f>IF(SUM(C17:C22)&lt;C25,CONCATENATE("Количество рабочих мест, на которых работники не обеспечены СИЗ по нормам (",C25," р.м.), больше количества рабочих мест, на которых проведена аттестация (",SUM(C17:C22)," р.м.)!")," ")</f>
        <v xml:space="preserve"> </v>
      </c>
      <c r="B60" s="582"/>
      <c r="C60" s="582"/>
      <c r="D60" s="582"/>
      <c r="E60" s="582"/>
      <c r="F60" s="582"/>
      <c r="G60" s="582"/>
      <c r="H60" s="310"/>
      <c r="I60" s="378" t="s">
        <v>504</v>
      </c>
      <c r="J60" s="29"/>
      <c r="K60" s="29"/>
      <c r="L60" s="29"/>
      <c r="M60" s="29"/>
      <c r="N60" s="29"/>
      <c r="O60" s="29"/>
      <c r="P60" s="29"/>
    </row>
    <row r="61" spans="1:16" s="11" customFormat="1" ht="31.5" customHeight="1">
      <c r="A61" s="582" t="str">
        <f>IF(SUM(D17:D22)&lt;D25,CONCATENATE("Количество работников, не обеспеченных СИЗ по нормам (",D25," чел.), больше численности работников, на чьих рабочих местах проведена аттестация (",SUM(D17:D22)," чел.)!")," ")</f>
        <v xml:space="preserve"> </v>
      </c>
      <c r="B61" s="582"/>
      <c r="C61" s="582"/>
      <c r="D61" s="582"/>
      <c r="E61" s="582"/>
      <c r="F61" s="582"/>
      <c r="G61" s="582"/>
      <c r="H61" s="310"/>
      <c r="I61" s="378" t="s">
        <v>505</v>
      </c>
      <c r="J61" s="29"/>
      <c r="K61" s="29"/>
      <c r="L61" s="29"/>
      <c r="M61" s="29"/>
      <c r="N61" s="29"/>
      <c r="O61" s="29"/>
      <c r="P61" s="29"/>
    </row>
    <row r="62" spans="1:16" s="11" customFormat="1" ht="31.5" customHeight="1">
      <c r="A62" s="582" t="str">
        <f>IF(SUM(E17:E22)&lt;E25,CONCATENATE("Численность женщин, не обеспеченных СИЗ по нормам (",E25," чел.), больше численности женщин, на чьих рабочих местах проведена аттестация (",SUM(E17:E22)," чел.)!")," ")</f>
        <v xml:space="preserve"> </v>
      </c>
      <c r="B62" s="582"/>
      <c r="C62" s="582"/>
      <c r="D62" s="582"/>
      <c r="E62" s="582"/>
      <c r="F62" s="582"/>
      <c r="G62" s="582"/>
      <c r="H62" s="310"/>
      <c r="I62" s="378" t="str">
        <f>TRIM(A33)</f>
        <v/>
      </c>
      <c r="J62" s="29"/>
      <c r="K62" s="29"/>
      <c r="L62" s="29"/>
      <c r="M62" s="29"/>
      <c r="N62" s="29"/>
      <c r="O62" s="29"/>
      <c r="P62" s="29"/>
    </row>
    <row r="63" spans="1:16" s="11" customFormat="1" ht="31.5" customHeight="1">
      <c r="A63" s="582" t="str">
        <f>IF(SUM(F17:F22)&lt;F25,CONCATENATE("Численность лиц моложе 18 лет, не обеспеченных СИЗ по нормам (",F25," чел.), больше численности лиц моложе 18 лет, на чьих рабочих местах проведена аттестация (",SUM(F17:F22)," чел.)!")," ")</f>
        <v xml:space="preserve"> </v>
      </c>
      <c r="B63" s="582"/>
      <c r="C63" s="582"/>
      <c r="D63" s="582"/>
      <c r="E63" s="582"/>
      <c r="F63" s="582"/>
      <c r="G63" s="582"/>
      <c r="H63" s="310"/>
      <c r="I63" s="378" t="str">
        <f>TRIM(A34)</f>
        <v/>
      </c>
      <c r="J63" s="29"/>
      <c r="K63" s="29"/>
      <c r="L63" s="29"/>
      <c r="M63" s="29"/>
      <c r="N63" s="29"/>
      <c r="O63" s="29"/>
      <c r="P63" s="29"/>
    </row>
    <row r="64" spans="1:16" s="11" customFormat="1" ht="31.5" customHeight="1">
      <c r="A64" s="582" t="str">
        <f>IF(SUM(G17:G22)&lt;G25,CONCATENATE("Численность инвалидов, не обеспеченных СИЗ по нормам (",G25," чел.), больше численности инвалидов, на чьих рабочих местах проведена аттестация (",SUM(G17:G22)," чел.)!")," ")</f>
        <v xml:space="preserve"> </v>
      </c>
      <c r="B64" s="582"/>
      <c r="C64" s="582"/>
      <c r="D64" s="582"/>
      <c r="E64" s="582"/>
      <c r="F64" s="582"/>
      <c r="G64" s="582"/>
      <c r="H64" s="310"/>
      <c r="I64" s="378" t="str">
        <f>TRIM(A35)</f>
        <v/>
      </c>
      <c r="J64" s="29"/>
      <c r="K64" s="29"/>
      <c r="L64" s="29"/>
      <c r="M64" s="29"/>
      <c r="N64" s="29"/>
      <c r="O64" s="29"/>
      <c r="P64" s="29"/>
    </row>
    <row r="65" spans="1:16" s="11" customFormat="1" ht="31.5" customHeight="1">
      <c r="A65" s="582" t="str">
        <f>IF(SUM(C17:C22)&lt;C26,CONCATENATE("Количество рабочих мест, на которых не требуется обеспечение работников СИЗ по нормам (",C26," р.м.), больше количества рабочих мест, на которых проведена аттестация (",SUM(C17:C22)," р.м.)!")," ")</f>
        <v xml:space="preserve"> </v>
      </c>
      <c r="B65" s="582"/>
      <c r="C65" s="582"/>
      <c r="D65" s="582"/>
      <c r="E65" s="582"/>
      <c r="F65" s="582"/>
      <c r="G65" s="582"/>
      <c r="H65" s="310"/>
      <c r="I65" s="378" t="str">
        <f>TRIM(A36)</f>
        <v/>
      </c>
      <c r="J65" s="29"/>
      <c r="K65" s="29"/>
      <c r="L65" s="29"/>
      <c r="M65" s="29"/>
      <c r="N65" s="29"/>
      <c r="O65" s="29"/>
      <c r="P65" s="29"/>
    </row>
    <row r="66" spans="1:16" s="11" customFormat="1" ht="31.5" customHeight="1">
      <c r="A66" s="582" t="str">
        <f>IF(SUM(D17:D22)&lt;D26,CONCATENATE("Численность работников, которых обеспечивать СИЗ по нормам не требуется (",D26," чел.), больше численности работников, на чьих рабочих местах проведена аттестация (",SUM(D17:D22)," чел.)!")," ")</f>
        <v xml:space="preserve"> </v>
      </c>
      <c r="B66" s="582"/>
      <c r="C66" s="582"/>
      <c r="D66" s="582"/>
      <c r="E66" s="582"/>
      <c r="F66" s="582"/>
      <c r="G66" s="582"/>
      <c r="H66" s="310"/>
      <c r="I66" s="29"/>
      <c r="J66" s="29"/>
      <c r="K66" s="29"/>
      <c r="L66" s="29"/>
      <c r="M66" s="29"/>
      <c r="N66" s="29"/>
      <c r="O66" s="29"/>
      <c r="P66" s="29"/>
    </row>
    <row r="67" spans="1:16" s="11" customFormat="1" ht="31.5" customHeight="1">
      <c r="A67" s="582" t="str">
        <f>IF(SUM(E17:E22)&lt;E26,CONCATENATE("Численность женщин, которых обеспечивать СИЗ по нормам не требуется (",E26," чел.), больше численности женщин, на чьих рабочих местах проведена аттестация (",SUM(E17:E22)," чел.)!")," ")</f>
        <v xml:space="preserve"> </v>
      </c>
      <c r="B67" s="582"/>
      <c r="C67" s="582"/>
      <c r="D67" s="582"/>
      <c r="E67" s="582"/>
      <c r="F67" s="582"/>
      <c r="G67" s="582"/>
      <c r="H67" s="310"/>
      <c r="I67" s="29"/>
      <c r="J67" s="29"/>
      <c r="K67" s="29"/>
      <c r="L67" s="29"/>
      <c r="M67" s="29"/>
      <c r="N67" s="29"/>
      <c r="O67" s="29"/>
      <c r="P67" s="29"/>
    </row>
    <row r="68" spans="1:16" s="11" customFormat="1" ht="31.5" customHeight="1">
      <c r="A68" s="582" t="str">
        <f>IF(SUM(F17:F22)&lt;F26,CONCATENATE("Численность лиц моложе 18 лет, которых обеспечивать СИЗ по нормам не требуется (",F26," чел.), больше численности лиц моложе 18 лет, на чьих рабочих местах проведена аттестация (",SUM(F17:F22)," чел.)!")," ")</f>
        <v xml:space="preserve"> </v>
      </c>
      <c r="B68" s="582"/>
      <c r="C68" s="582"/>
      <c r="D68" s="582"/>
      <c r="E68" s="582"/>
      <c r="F68" s="582"/>
      <c r="G68" s="582"/>
      <c r="H68" s="310"/>
      <c r="I68" s="29"/>
      <c r="J68" s="29"/>
      <c r="K68" s="29"/>
      <c r="L68" s="29"/>
      <c r="M68" s="29"/>
      <c r="N68" s="29"/>
      <c r="O68" s="29"/>
      <c r="P68" s="29"/>
    </row>
    <row r="69" spans="1:16" s="11" customFormat="1" ht="31.5" customHeight="1">
      <c r="A69" s="582" t="str">
        <f>IF(SUM(G17:G22)&lt;G26,CONCATENATE("Численность инвалидов, которых обеспечивать СИЗ по нормам не требуется (",G26," чел.), больше численности инвалидов, на чьих рабочих местах проведена аттестация (",SUM(G17:G22)," чел.)!")," ")</f>
        <v xml:space="preserve"> </v>
      </c>
      <c r="B69" s="582"/>
      <c r="C69" s="582"/>
      <c r="D69" s="582"/>
      <c r="E69" s="582"/>
      <c r="F69" s="582"/>
      <c r="G69" s="582"/>
      <c r="H69" s="310"/>
      <c r="I69" s="29"/>
      <c r="J69" s="29"/>
      <c r="K69" s="29"/>
      <c r="L69" s="29"/>
      <c r="M69" s="29"/>
      <c r="N69" s="29"/>
      <c r="O69" s="29"/>
      <c r="P69" s="29"/>
    </row>
    <row r="70" spans="1:16" s="11" customFormat="1" ht="31.5" customHeight="1">
      <c r="A70" s="582" t="str">
        <f>IF(OR(N17=TRUE,N18=TRUE,N19=TRUE,N20=TRUE,N21=TRUE,N22=TRUE,N23=TRUE,N24=TRUE,N25=TRUE,N26=TRUE),CONCATENATE("Численность женщин, занятых на рабочих местах с одной из характеристик условий труда (",INDEX(C17:Q26,MATCH(TRUE,N17:N26,0),3)," чел.), больше численности всех работников, занятых на рабочих местах с данными условиями труда (",INDEX(C17:Q26,MATCH(TRUE,N17:N26,0),2)," чел.)!")," ")</f>
        <v xml:space="preserve"> </v>
      </c>
      <c r="B70" s="582"/>
      <c r="C70" s="582"/>
      <c r="D70" s="582"/>
      <c r="E70" s="582"/>
      <c r="F70" s="582"/>
      <c r="G70" s="582"/>
      <c r="H70" s="310"/>
      <c r="I70" s="29"/>
      <c r="J70" s="29"/>
      <c r="K70" s="29"/>
      <c r="L70" s="29"/>
      <c r="M70" s="29"/>
      <c r="N70" s="29"/>
      <c r="O70" s="29"/>
      <c r="P70" s="29"/>
    </row>
    <row r="71" spans="1:16" ht="31.5" customHeight="1">
      <c r="A71" s="582" t="str">
        <f>IF(OR(O17=TRUE,O18=TRUE,O19=TRUE,O20=TRUE,O21=TRUE,O22=TRUE,O23=TRUE,O24=TRUE,O25=TRUE,O26=TRUE),CONCATENATE("Численность лиц моложе 18 лет, занятых на рабочих местах с одной из характеристик условий труда (",INDEX(C17:Q26,MATCH(TRUE,O17:O26,0),4)," чел.), больше численности всех работников, занятых на рабочих местах с данными условиями труда (",INDEX(C17:Q26,MATCH(TRUE,O17:O26,0),2)," чел.)!")," ")</f>
        <v xml:space="preserve"> </v>
      </c>
      <c r="B71" s="582"/>
      <c r="C71" s="582"/>
      <c r="D71" s="582"/>
      <c r="E71" s="582"/>
      <c r="F71" s="582"/>
      <c r="G71" s="582"/>
    </row>
    <row r="72" spans="1:16" ht="31.5" customHeight="1">
      <c r="A72" s="582" t="str">
        <f>IF(OR(P17=TRUE,P18=TRUE,P19=TRUE,P20=TRUE,P21=TRUE,P22=TRUE,P23=TRUE,P24=TRUE,P25=TRUE,P26),CONCATENATE("Численность инвалидов, занятых на рабочих местах с одной из характеристик условий труда (",INDEX(C17:Q26,MATCH(TRUE,P17:P26,0),5)," чел.), больше численности всех работников, занятых на рабочих местах с данными условиями труда (",INDEX(C17:Q26,MATCH(TRUE,P17:P26,0),2)," чел.)!")," ")</f>
        <v xml:space="preserve"> </v>
      </c>
      <c r="B72" s="582"/>
      <c r="C72" s="582"/>
      <c r="D72" s="582"/>
      <c r="E72" s="582"/>
      <c r="F72" s="582"/>
      <c r="G72" s="582"/>
    </row>
    <row r="73" spans="1:16" ht="31.5" customHeight="1">
      <c r="A73" s="582" t="str">
        <f>IF((C24+C25+C26)&gt;SUM(C17:C22),CONCATENATE("Количество рабочих мест, на которых проведена оценка обеспеченности работников СИЗ (",C24+C25+C26," р.м.), больше количества рабочих мест, на которых проведена аттестация по условиям труда (",SUM(C17:C22)," р.м.)!")," ")</f>
        <v xml:space="preserve"> </v>
      </c>
      <c r="B73" s="582"/>
      <c r="C73" s="582"/>
      <c r="D73" s="582"/>
      <c r="E73" s="582"/>
      <c r="F73" s="582"/>
      <c r="G73" s="582"/>
    </row>
    <row r="74" spans="1:16" ht="31.5" customHeight="1">
      <c r="A74" s="579" t="str">
        <f>IF((D24+D25+D26)&gt;SUM(D17:D22),CONCATENATE("Численность работников, на рабочих местах которых проведена оценка обеспеченности СИЗ (",D24+D25+D26," чел.), больше численности работников, на чьих рабочих местах проведена аттестация по условиям труда (",SUM(D17:D22)," чел.)!")," ")</f>
        <v xml:space="preserve"> </v>
      </c>
      <c r="B74" s="579"/>
      <c r="C74" s="579"/>
      <c r="D74" s="579"/>
      <c r="E74" s="579"/>
      <c r="F74" s="579"/>
      <c r="G74" s="579"/>
      <c r="H74" s="311"/>
    </row>
    <row r="75" spans="1:16" ht="31.5" customHeight="1">
      <c r="A75" s="579" t="str">
        <f>IF((E24+E25+E26)&gt;SUM(E17:E22),CONCATENATE("Численность женщин, на чьих рабочих местах проведена оценка обеспеченности СИЗ (",E24+E25+E26," чел.), больше численности женщин, на чьих рабочих местах проведена аттестация по условиям труда (",SUM(E17:E22)," чел.)!")," ")</f>
        <v xml:space="preserve"> </v>
      </c>
      <c r="B75" s="579"/>
      <c r="C75" s="579"/>
      <c r="D75" s="579"/>
      <c r="E75" s="579"/>
      <c r="F75" s="579"/>
      <c r="G75" s="579"/>
      <c r="H75" s="311"/>
    </row>
    <row r="76" spans="1:16" ht="31.5" customHeight="1">
      <c r="A76" s="579" t="str">
        <f>IF((F24+F25+F26)&gt;SUM(F17:F22),CONCATENATE("Численность лиц моложе восемнадцати лет, на чьих рабочих местах проведена оценка обеспеченности СИЗ (",F24+F25+F26," чел.), больше численности лиц моложе восемнадцати лет, на чьих рабочих местах проведена аттестация по условиям труда (",SUM(F17:F22)," чел.)!")," ")</f>
        <v xml:space="preserve"> </v>
      </c>
      <c r="B76" s="579"/>
      <c r="C76" s="579"/>
      <c r="D76" s="579"/>
      <c r="E76" s="579"/>
      <c r="F76" s="579"/>
      <c r="G76" s="579"/>
      <c r="H76" s="311"/>
    </row>
    <row r="77" spans="1:16" ht="31.5" customHeight="1">
      <c r="A77" s="579" t="str">
        <f>IF((G24+G25+G26)&gt;SUM(G17:G22),CONCATENATE("Численность инвалидов, на чьих рабочих местах проведена оценка обеспеченности СИЗ (",G24+G25+G26," чел.), больше численности инвалидов, на чьих рабочих местах проведена аттестация по условиям труда (",SUM(G17:G22)," чел.)!")," ")</f>
        <v xml:space="preserve"> </v>
      </c>
      <c r="B77" s="579"/>
      <c r="C77" s="579"/>
      <c r="D77" s="579"/>
      <c r="E77" s="579"/>
      <c r="F77" s="579"/>
      <c r="G77" s="579"/>
      <c r="H77" s="311"/>
    </row>
    <row r="78" spans="1:16" ht="31.5" customHeight="1">
      <c r="A78" s="579" t="str">
        <f>IF(OR(Q17=TRUE,Q18=TRUE,Q19=TRUE,Q20=TRUE,Q21=TRUE,Q22=TRUE,Q23=TRUE,Q24=TRUE,Q25=TRUE,Q26=TRUE),"Не указано количество рабочих мест для данных условий труда, на которых заняты работники обозначенной категории"," ")</f>
        <v xml:space="preserve"> </v>
      </c>
      <c r="B78" s="579"/>
      <c r="C78" s="579"/>
      <c r="D78" s="579"/>
      <c r="E78" s="579"/>
      <c r="F78" s="579"/>
      <c r="G78" s="579"/>
      <c r="H78" s="311"/>
    </row>
    <row r="79" spans="1:16" ht="31.5" customHeight="1">
      <c r="A79" s="579" t="str">
        <f>IF(I10=TRUE,CONCATENATE("Приказ, которым начато проведение аттестации рабочих мест по условиям труда в организации (№ ",E28,"), издан позже приказа, которым утверждены ее результаты (№ ",E10,")!")," ")</f>
        <v xml:space="preserve"> </v>
      </c>
      <c r="B79" s="579"/>
      <c r="C79" s="579"/>
      <c r="D79" s="579"/>
      <c r="E79" s="579"/>
      <c r="F79" s="579"/>
      <c r="G79" s="579"/>
      <c r="H79" s="311"/>
    </row>
    <row r="80" spans="1:16" ht="31.5" customHeight="1">
      <c r="A80" s="579" t="str">
        <f>IF(I28=TRUE,CONCATENATE("Приказ, на основании которого проводится повторная аттестации рабочих мест по условиям труда в организации (№ ",E30,"), издан раньше приказа, на основании которого проведена предыдущая аттестация (№ ",E28,")!")," ")</f>
        <v xml:space="preserve"> </v>
      </c>
      <c r="B80" s="579"/>
      <c r="C80" s="579"/>
      <c r="D80" s="579"/>
      <c r="E80" s="579"/>
      <c r="F80" s="579"/>
      <c r="G80" s="579"/>
      <c r="H80" s="311"/>
    </row>
    <row r="81" spans="1:8" ht="31.5" customHeight="1">
      <c r="A81" s="579" t="str">
        <f>IF(OR(R17=FALSE,R18=FALSE,R19=FALSE,R20=FALSE,R21=FALSE,R22=FALSE),CONCATENATE("Исходя из введенных данных, аттестация по условиям труда проведена на всех рабочих местах в организации. Вместе с тем, отсутствуют сведения об условиях труда ",J16-J15," работников, занятых на указанных рабочих местах!")," ")</f>
        <v xml:space="preserve"> </v>
      </c>
      <c r="B81" s="579"/>
      <c r="C81" s="579"/>
      <c r="D81" s="579"/>
      <c r="E81" s="579"/>
      <c r="F81" s="579"/>
      <c r="G81" s="579"/>
      <c r="H81" s="311"/>
    </row>
    <row r="82" spans="1:8" ht="31.5" customHeight="1">
      <c r="A82" s="579" t="str">
        <f>IF(OR(S17=FALSE,S18=FALSE,S19=FALSE,S20=FALSE,S21=FALSE,S22=FALSE),CONCATENATE("Исходя из введенных данных, аттестация по условиям труда проведена на всех рабочих местах в организации. Вместе с тем, отсутствуют сведения об условиях труда ",K16-K15," женщин, занятых на указанных рабочих местах!")," ")</f>
        <v xml:space="preserve"> </v>
      </c>
      <c r="B82" s="579"/>
      <c r="C82" s="579"/>
      <c r="D82" s="579"/>
      <c r="E82" s="579"/>
      <c r="F82" s="579"/>
      <c r="G82" s="579"/>
      <c r="H82" s="311"/>
    </row>
    <row r="83" spans="1:8" ht="31.5" customHeight="1">
      <c r="A83" s="579" t="str">
        <f>IF(OR(T17=FALSE,T18=FALSE,T19=FALSE,T20=FALSE,T21=FALSE,T22=FALSE),CONCATENATE("Исходя из введенных данных, аттестация по условиям труда проведена на всех рабочих местах в организации. Вместе с тем, отсутствуют сведения об условиях труда ",L16-L15," лиц моложе 18 лет, занятых на указанных рабочих местах!")," ")</f>
        <v xml:space="preserve"> </v>
      </c>
      <c r="B83" s="579"/>
      <c r="C83" s="579"/>
      <c r="D83" s="579"/>
      <c r="E83" s="579"/>
      <c r="F83" s="579"/>
      <c r="G83" s="579"/>
      <c r="H83" s="311"/>
    </row>
    <row r="84" spans="1:8" ht="31.5" customHeight="1">
      <c r="A84" s="579" t="str">
        <f>IF(OR(U17=FALSE,U18=FALSE,U19=FALSE,U20=FALSE,U21=FALSE,U22=FALSE),CONCATENATE("Исходя из введенных данных, аттестация по условиям труда проведена на всех рабочих местах в организации. Вместе с тем, отсутствуют сведения об условиях труда ",M16-M15," инвалидов, занятых на указанных рабочих местах!")," ")</f>
        <v xml:space="preserve"> </v>
      </c>
      <c r="B84" s="579"/>
      <c r="C84" s="579"/>
      <c r="D84" s="579"/>
      <c r="E84" s="579"/>
      <c r="F84" s="579"/>
      <c r="G84" s="579"/>
      <c r="H84" s="311"/>
    </row>
    <row r="85" spans="1:8" ht="31.5" customHeight="1">
      <c r="A85" s="579" t="str">
        <f>IF(R23=FALSE,CONCATENATE("Исходя из введенных данных, аттестация по условиям труда проведена на всех рабочих местах в организации. Вместе с тем, сведения об обеспеченности СИЗ работников даны только для ",C24+C25+C26," из ",I16," рабочих мест, имеющихся в организации!")," ")</f>
        <v xml:space="preserve"> </v>
      </c>
      <c r="B85" s="579"/>
      <c r="C85" s="579"/>
      <c r="D85" s="579"/>
      <c r="E85" s="579"/>
      <c r="F85" s="579"/>
      <c r="G85" s="579"/>
      <c r="H85" s="311"/>
    </row>
    <row r="86" spans="1:8" ht="31.5" customHeight="1">
      <c r="A86" s="579" t="str">
        <f>IF(R24=FALSE,CONCATENATE("Исходя из введенных данных, аттестация по условиям труда проведена на всех рабочих местах в организации. Вместе с тем, даны сведения об обеспеченности СИЗ только ",D24+D25+D26," из ",J16," работников, занятых на указанных рабочих местах!")," ")</f>
        <v xml:space="preserve"> </v>
      </c>
      <c r="B86" s="579"/>
      <c r="C86" s="579"/>
      <c r="D86" s="579"/>
      <c r="E86" s="579"/>
      <c r="F86" s="579"/>
      <c r="G86" s="579"/>
      <c r="H86" s="311"/>
    </row>
    <row r="87" spans="1:8" ht="31.5" customHeight="1">
      <c r="A87" s="579" t="str">
        <f>IF(S24=FALSE,CONCATENATE("Исходя из введенных данных, аттестация по условиям труда проведена на всех рабочих местах в организации. Вместе с тем, даны сведения об обеспеченности СИЗ только ",E24+E25+E26," из ",K16," женщин, занятых на указанных рабочих местах!")," ")</f>
        <v xml:space="preserve"> </v>
      </c>
      <c r="B87" s="579"/>
      <c r="C87" s="579"/>
      <c r="D87" s="579"/>
      <c r="E87" s="579"/>
      <c r="F87" s="579"/>
      <c r="G87" s="579"/>
      <c r="H87" s="311"/>
    </row>
    <row r="88" spans="1:8" ht="31.5" customHeight="1">
      <c r="A88" s="579" t="str">
        <f>IF(T24=FALSE,CONCATENATE("Исходя из введенных данных, аттестация по условиям труда проведена на всех рабочих местах в организации. Вместе с тем, даны сведения об обеспеченности СИЗ только ",F24+F25+F26," из ",L16," лиц моложе восемнадцати лет, занятых на указанных рабочих местах!")," ")</f>
        <v xml:space="preserve"> </v>
      </c>
      <c r="B88" s="579"/>
      <c r="C88" s="579"/>
      <c r="D88" s="579"/>
      <c r="E88" s="579"/>
      <c r="F88" s="579"/>
      <c r="G88" s="579"/>
      <c r="H88" s="311"/>
    </row>
    <row r="89" spans="1:8" ht="31.5" customHeight="1">
      <c r="A89" s="579" t="str">
        <f>IF(U24=FALSE,CONCATENATE("Исходя из введенных данных, аттестация по условиям труда проведена на всех рабочих местах в организации. Вместе с тем, даны сведения об обеспеченности СИЗ только ",G24+G25+G26," из ",M16," инвалидов, занятых на указанных рабочих местах!")," ")</f>
        <v xml:space="preserve"> </v>
      </c>
      <c r="B89" s="579"/>
      <c r="C89" s="579"/>
      <c r="D89" s="579"/>
      <c r="E89" s="579"/>
      <c r="F89" s="579"/>
      <c r="G89" s="579"/>
      <c r="H89" s="311"/>
    </row>
    <row r="90" spans="1:8">
      <c r="A90" s="581" t="s">
        <v>402</v>
      </c>
      <c r="B90" s="581"/>
      <c r="C90" s="581"/>
      <c r="D90" s="581"/>
      <c r="E90" s="581"/>
      <c r="F90" s="581"/>
      <c r="G90" s="581"/>
    </row>
    <row r="92" spans="1:8">
      <c r="C92" s="79"/>
    </row>
  </sheetData>
  <sheetProtection password="CE28" sheet="1" objects="1" scenarios="1" selectLockedCells="1"/>
  <mergeCells count="81">
    <mergeCell ref="A55:G55"/>
    <mergeCell ref="A53:G53"/>
    <mergeCell ref="A36:G36"/>
    <mergeCell ref="A23:B23"/>
    <mergeCell ref="A61:G61"/>
    <mergeCell ref="A40:G40"/>
    <mergeCell ref="A43:G43"/>
    <mergeCell ref="A48:G48"/>
    <mergeCell ref="A38:G38"/>
    <mergeCell ref="A39:G39"/>
    <mergeCell ref="A51:G51"/>
    <mergeCell ref="A56:G56"/>
    <mergeCell ref="A47:G47"/>
    <mergeCell ref="A35:G35"/>
    <mergeCell ref="A78:G78"/>
    <mergeCell ref="A75:G75"/>
    <mergeCell ref="A74:G74"/>
    <mergeCell ref="A58:G58"/>
    <mergeCell ref="A59:G59"/>
    <mergeCell ref="A73:G73"/>
    <mergeCell ref="A71:G71"/>
    <mergeCell ref="A76:G76"/>
    <mergeCell ref="A62:G62"/>
    <mergeCell ref="A70:G70"/>
    <mergeCell ref="A52:G52"/>
    <mergeCell ref="A60:G60"/>
    <mergeCell ref="A54:G54"/>
    <mergeCell ref="A57:G57"/>
    <mergeCell ref="A1:G1"/>
    <mergeCell ref="A2:G2"/>
    <mergeCell ref="C3:G3"/>
    <mergeCell ref="C4:G4"/>
    <mergeCell ref="A3:A6"/>
    <mergeCell ref="C5:G5"/>
    <mergeCell ref="C6:G6"/>
    <mergeCell ref="A31:G31"/>
    <mergeCell ref="C7:G7"/>
    <mergeCell ref="A18:A21"/>
    <mergeCell ref="A26:B26"/>
    <mergeCell ref="A27:G27"/>
    <mergeCell ref="A7:B7"/>
    <mergeCell ref="A29:G29"/>
    <mergeCell ref="A8:G8"/>
    <mergeCell ref="A25:B25"/>
    <mergeCell ref="A14:G14"/>
    <mergeCell ref="A15:A16"/>
    <mergeCell ref="B15:B16"/>
    <mergeCell ref="C15:C16"/>
    <mergeCell ref="D15:G15"/>
    <mergeCell ref="A24:B24"/>
    <mergeCell ref="A90:G90"/>
    <mergeCell ref="A65:G65"/>
    <mergeCell ref="A66:G66"/>
    <mergeCell ref="A67:G67"/>
    <mergeCell ref="A68:G68"/>
    <mergeCell ref="A69:G69"/>
    <mergeCell ref="A77:G77"/>
    <mergeCell ref="A72:G72"/>
    <mergeCell ref="A84:G84"/>
    <mergeCell ref="A79:G79"/>
    <mergeCell ref="A80:G80"/>
    <mergeCell ref="A83:G83"/>
    <mergeCell ref="A81:G81"/>
    <mergeCell ref="A82:G82"/>
    <mergeCell ref="A32:G32"/>
    <mergeCell ref="A63:G63"/>
    <mergeCell ref="A64:G64"/>
    <mergeCell ref="A50:G50"/>
    <mergeCell ref="A33:G33"/>
    <mergeCell ref="A34:G34"/>
    <mergeCell ref="A49:G49"/>
    <mergeCell ref="A46:G46"/>
    <mergeCell ref="A45:G45"/>
    <mergeCell ref="A41:G41"/>
    <mergeCell ref="A42:G42"/>
    <mergeCell ref="A44:G44"/>
    <mergeCell ref="A89:G89"/>
    <mergeCell ref="A85:G85"/>
    <mergeCell ref="A86:G86"/>
    <mergeCell ref="A87:G87"/>
    <mergeCell ref="A88:G88"/>
  </mergeCells>
  <phoneticPr fontId="41" type="noConversion"/>
  <conditionalFormatting sqref="A42:F44 A71:F71 A70:E70 A72:E72 A47:F69">
    <cfRule type="expression" dxfId="81" priority="72" stopIfTrue="1">
      <formula>A42=" "</formula>
    </cfRule>
  </conditionalFormatting>
  <conditionalFormatting sqref="B3:B5">
    <cfRule type="expression" dxfId="80" priority="64" stopIfTrue="1">
      <formula>ISBLANK(#REF!)</formula>
    </cfRule>
  </conditionalFormatting>
  <conditionalFormatting sqref="B6">
    <cfRule type="expression" dxfId="79" priority="67" stopIfTrue="1">
      <formula>ISBLANK(#REF!)</formula>
    </cfRule>
  </conditionalFormatting>
  <conditionalFormatting sqref="A39:G39">
    <cfRule type="expression" dxfId="78" priority="205" stopIfTrue="1">
      <formula>I39&gt;0</formula>
    </cfRule>
  </conditionalFormatting>
  <conditionalFormatting sqref="A29:G29">
    <cfRule type="expression" dxfId="77" priority="214" stopIfTrue="1">
      <formula>I29=TRUE</formula>
    </cfRule>
  </conditionalFormatting>
  <conditionalFormatting sqref="A30">
    <cfRule type="expression" dxfId="76" priority="215" stopIfTrue="1">
      <formula>I29=TRUE</formula>
    </cfRule>
  </conditionalFormatting>
  <conditionalFormatting sqref="B30">
    <cfRule type="expression" dxfId="75" priority="216" stopIfTrue="1">
      <formula>I29=TRUE</formula>
    </cfRule>
  </conditionalFormatting>
  <conditionalFormatting sqref="D30">
    <cfRule type="expression" dxfId="74" priority="217" stopIfTrue="1">
      <formula>I29=TRUE</formula>
    </cfRule>
  </conditionalFormatting>
  <conditionalFormatting sqref="A33:G36">
    <cfRule type="expression" dxfId="73" priority="226" stopIfTrue="1">
      <formula>ISBLANK(A33)</formula>
    </cfRule>
  </conditionalFormatting>
  <conditionalFormatting sqref="C10">
    <cfRule type="expression" dxfId="72" priority="227" stopIfTrue="1">
      <formula>ISBLANK(C10)</formula>
    </cfRule>
    <cfRule type="expression" dxfId="71" priority="228" stopIfTrue="1">
      <formula>I10=TRUE</formula>
    </cfRule>
  </conditionalFormatting>
  <conditionalFormatting sqref="E10 C3:G6">
    <cfRule type="expression" dxfId="70" priority="229" stopIfTrue="1">
      <formula>ISBLANK(C3)</formula>
    </cfRule>
  </conditionalFormatting>
  <conditionalFormatting sqref="C28">
    <cfRule type="expression" dxfId="69" priority="230" stopIfTrue="1">
      <formula>ISBLANK(C28)</formula>
    </cfRule>
    <cfRule type="expression" dxfId="68" priority="231" stopIfTrue="1">
      <formula>OR(I28=TRUE,I10=TRUE)</formula>
    </cfRule>
  </conditionalFormatting>
  <conditionalFormatting sqref="E28">
    <cfRule type="expression" dxfId="67" priority="232" stopIfTrue="1">
      <formula>LEN(TRIM(E28))=0</formula>
    </cfRule>
  </conditionalFormatting>
  <conditionalFormatting sqref="C30">
    <cfRule type="expression" dxfId="66" priority="233" stopIfTrue="1">
      <formula>AND(LEN(TRIM(C30))=0,I29=FALSE)</formula>
    </cfRule>
    <cfRule type="expression" dxfId="65" priority="234" stopIfTrue="1">
      <formula>I29=TRUE</formula>
    </cfRule>
    <cfRule type="expression" dxfId="64" priority="235" stopIfTrue="1">
      <formula>I28=TRUE</formula>
    </cfRule>
  </conditionalFormatting>
  <conditionalFormatting sqref="E30">
    <cfRule type="expression" dxfId="63" priority="236" stopIfTrue="1">
      <formula>AND(LEN(TRIM(E30))=0,I29=FALSE)</formula>
    </cfRule>
    <cfRule type="expression" dxfId="62" priority="237" stopIfTrue="1">
      <formula>I29=TRUE</formula>
    </cfRule>
  </conditionalFormatting>
  <conditionalFormatting sqref="D17:D22 D26 D24">
    <cfRule type="expression" dxfId="61" priority="238" stopIfTrue="1">
      <formula>AND(J17,R17)=FALSE</formula>
    </cfRule>
  </conditionalFormatting>
  <conditionalFormatting sqref="C17:C22 C23:D23">
    <cfRule type="expression" dxfId="60" priority="239" stopIfTrue="1">
      <formula>I17=FALSE</formula>
    </cfRule>
  </conditionalFormatting>
  <conditionalFormatting sqref="E24:G24 E26 E17:G22">
    <cfRule type="expression" dxfId="59" priority="240" stopIfTrue="1">
      <formula>AND(K17,S17)=FALSE</formula>
    </cfRule>
    <cfRule type="expression" dxfId="58" priority="241" stopIfTrue="1">
      <formula>N17=TRUE</formula>
    </cfRule>
  </conditionalFormatting>
  <conditionalFormatting sqref="E23:G23">
    <cfRule type="expression" dxfId="57" priority="242" stopIfTrue="1">
      <formula>K23=FALSE</formula>
    </cfRule>
    <cfRule type="expression" dxfId="56" priority="243" stopIfTrue="1">
      <formula>N23=TRUE</formula>
    </cfRule>
  </conditionalFormatting>
  <conditionalFormatting sqref="D25">
    <cfRule type="expression" dxfId="55" priority="244" stopIfTrue="1">
      <formula>AND(J25,R25)=FALSE</formula>
    </cfRule>
  </conditionalFormatting>
  <conditionalFormatting sqref="C24">
    <cfRule type="expression" dxfId="54" priority="245" stopIfTrue="1">
      <formula>AND(I24,R23)=FALSE</formula>
    </cfRule>
  </conditionalFormatting>
  <conditionalFormatting sqref="C25">
    <cfRule type="expression" dxfId="53" priority="246" stopIfTrue="1">
      <formula>AND(I25,R23)=FALSE</formula>
    </cfRule>
  </conditionalFormatting>
  <conditionalFormatting sqref="C26">
    <cfRule type="expression" dxfId="52" priority="247" stopIfTrue="1">
      <formula>AND(I26,R23)=FALSE</formula>
    </cfRule>
  </conditionalFormatting>
  <conditionalFormatting sqref="E25">
    <cfRule type="expression" dxfId="51" priority="248" stopIfTrue="1">
      <formula>AND(K25,S25)=FALSE</formula>
    </cfRule>
    <cfRule type="expression" dxfId="50" priority="249" stopIfTrue="1">
      <formula>N25=TRUE</formula>
    </cfRule>
  </conditionalFormatting>
  <conditionalFormatting sqref="F25:G25">
    <cfRule type="expression" dxfId="49" priority="250" stopIfTrue="1">
      <formula>AND(L25,T25)=FALSE</formula>
    </cfRule>
    <cfRule type="expression" dxfId="48" priority="251" stopIfTrue="1">
      <formula>O25=TRUE</formula>
    </cfRule>
  </conditionalFormatting>
  <conditionalFormatting sqref="F26:G26">
    <cfRule type="expression" dxfId="47" priority="252" stopIfTrue="1">
      <formula>AND(L26,T26)=FALSE</formula>
    </cfRule>
    <cfRule type="expression" priority="253" stopIfTrue="1">
      <formula>O26=TRUE</formula>
    </cfRule>
  </conditionalFormatting>
  <conditionalFormatting sqref="A90:G90">
    <cfRule type="expression" dxfId="46" priority="254" stopIfTrue="1">
      <formula>I39&gt;0</formula>
    </cfRule>
  </conditionalFormatting>
  <dataValidations count="6">
    <dataValidation type="date" operator="lessThanOrEqual" allowBlank="1" showInputMessage="1" showErrorMessage="1" errorTitle="ОШИБКА" error="Введенная дата не существует!" promptTitle="ПОДСКАЗКА" prompt="Введите дату в формате ДД.ММ.ГГГГ (например, 08.04.2010)" sqref="C10 C28 C30">
      <formula1>TODAY()</formula1>
    </dataValidation>
    <dataValidation type="whole" operator="greaterThanOrEqual" allowBlank="1" showInputMessage="1" showErrorMessage="1" errorTitle="ВНИМАНИЕ!" error="Введенное значение должно быть целым числом._x000a__x000a_Проверьте исходные данные и введите значение, соответствующее требуемому условию." sqref="C17:H25">
      <formula1>0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C3:G3">
      <formula1>List4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C4:G4">
      <formula1>List4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C5:G5">
      <formula1>List4</formula1>
    </dataValidation>
    <dataValidation type="list" allowBlank="1" showInputMessage="1" showErrorMessage="1" prompt="Выберите из списка. В случае отсутствия в списке нужного названия, следуйте указаниям, приведенным в конце листа" sqref="C6:G6">
      <formula1>List4</formula1>
    </dataValidation>
  </dataValidations>
  <printOptions horizontalCentered="1"/>
  <pageMargins left="0.39370078740157483" right="0.39370078740157483" top="0.59055118110236227" bottom="0.59055118110236227" header="0.31496062992125984" footer="0.31496062992125984"/>
  <pageSetup paperSize="9" orientation="portrait" blackAndWhite="1" horizontalDpi="180" verticalDpi="180" r:id="rId1"/>
  <headerFooter differentFirst="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66FF33"/>
  </sheetPr>
  <dimension ref="A1:P43"/>
  <sheetViews>
    <sheetView showGridLines="0" showRowColHeaders="0" showZeros="0" zoomScale="115" zoomScaleNormal="125" workbookViewId="0">
      <pane ySplit="3" topLeftCell="A4" activePane="bottomLeft" state="frozen"/>
      <selection pane="bottomLeft" activeCell="D17" sqref="D17"/>
    </sheetView>
  </sheetViews>
  <sheetFormatPr defaultRowHeight="15"/>
  <cols>
    <col min="1" max="1" width="33" style="9" customWidth="1"/>
    <col min="2" max="6" width="11.7109375" style="9" customWidth="1"/>
    <col min="7" max="7" width="11.7109375" style="310" hidden="1" customWidth="1"/>
    <col min="8" max="8" width="8.28515625" style="12" hidden="1" customWidth="1"/>
    <col min="9" max="12" width="9.140625" style="12" hidden="1" customWidth="1"/>
    <col min="13" max="14" width="9.140625" style="32" hidden="1" customWidth="1"/>
    <col min="15" max="16384" width="9.140625" style="9"/>
  </cols>
  <sheetData>
    <row r="1" spans="1:16" ht="90" customHeight="1" thickBot="1">
      <c r="A1" s="623" t="s">
        <v>500</v>
      </c>
      <c r="B1" s="623"/>
      <c r="C1" s="623"/>
      <c r="D1" s="623"/>
      <c r="E1" s="623"/>
      <c r="F1" s="623"/>
      <c r="L1" s="47"/>
      <c r="O1" s="99"/>
      <c r="P1" s="99"/>
    </row>
    <row r="2" spans="1:16" s="10" customFormat="1" ht="39.950000000000003" customHeight="1">
      <c r="A2" s="624" t="s">
        <v>126</v>
      </c>
      <c r="B2" s="626" t="s">
        <v>39</v>
      </c>
      <c r="C2" s="626" t="s">
        <v>210</v>
      </c>
      <c r="D2" s="626"/>
      <c r="E2" s="626"/>
      <c r="F2" s="628"/>
      <c r="G2" s="310"/>
      <c r="H2" s="26">
        <f>Титул!C9</f>
        <v>47</v>
      </c>
      <c r="I2" s="26">
        <f>Титул!C11</f>
        <v>61</v>
      </c>
      <c r="J2" s="12"/>
      <c r="K2" s="12"/>
      <c r="L2" s="12"/>
      <c r="M2" s="33"/>
      <c r="N2" s="33"/>
      <c r="O2" s="100"/>
      <c r="P2" s="100"/>
    </row>
    <row r="3" spans="1:16" s="10" customFormat="1" ht="45" customHeight="1" thickBot="1">
      <c r="A3" s="625"/>
      <c r="B3" s="627"/>
      <c r="C3" s="265" t="s">
        <v>127</v>
      </c>
      <c r="D3" s="266" t="s">
        <v>212</v>
      </c>
      <c r="E3" s="266" t="s">
        <v>213</v>
      </c>
      <c r="F3" s="312" t="s">
        <v>214</v>
      </c>
      <c r="G3" s="310"/>
      <c r="H3" s="26">
        <f>Титул!C12</f>
        <v>55</v>
      </c>
      <c r="I3" s="26">
        <f>Титул!C13</f>
        <v>0</v>
      </c>
      <c r="J3" s="26">
        <f>Титул!C14</f>
        <v>0</v>
      </c>
      <c r="K3" s="12"/>
      <c r="L3" s="12"/>
      <c r="M3" s="33"/>
      <c r="N3" s="33"/>
      <c r="O3" s="100"/>
      <c r="P3" s="100"/>
    </row>
    <row r="4" spans="1:16" ht="24.95" customHeight="1" thickTop="1">
      <c r="A4" s="313" t="s">
        <v>27</v>
      </c>
      <c r="B4" s="302">
        <v>10</v>
      </c>
      <c r="C4" s="296">
        <v>16</v>
      </c>
      <c r="D4" s="297">
        <v>12</v>
      </c>
      <c r="E4" s="296">
        <v>0</v>
      </c>
      <c r="F4" s="314"/>
      <c r="H4" s="28" t="b">
        <f t="shared" ref="H4:H17" si="0">AND(D4&lt;=C4,D4&lt;=$H$3,D4&lt;=$K$6)</f>
        <v>1</v>
      </c>
      <c r="I4" s="28" t="b">
        <f>AND(E4&lt;=C4,E4&lt;=$I$3,E4&lt;=$K$7)</f>
        <v>1</v>
      </c>
      <c r="J4" s="28" t="b">
        <f>AND(F4&lt;=C4,F4&lt;=$J$3,F4&lt;=$K$8)</f>
        <v>1</v>
      </c>
      <c r="K4" s="38">
        <f>K11+K17</f>
        <v>76</v>
      </c>
      <c r="L4" s="28" t="b">
        <f>AND(B4&lt;=$H$2,B4&lt;=$K$4)</f>
        <v>1</v>
      </c>
      <c r="M4" s="28" t="b">
        <f>AND(C4&lt;=$I$2,C4&lt;=$K$5)</f>
        <v>1</v>
      </c>
      <c r="N4" s="28" t="b">
        <f>IF(AND(LEN(B4)=0,LEN(C4)&gt;0),FALSE,TRUE)</f>
        <v>1</v>
      </c>
      <c r="O4" s="101"/>
      <c r="P4" s="101"/>
    </row>
    <row r="5" spans="1:16" ht="24.95" customHeight="1">
      <c r="A5" s="315" t="s">
        <v>111</v>
      </c>
      <c r="B5" s="303"/>
      <c r="C5" s="298"/>
      <c r="D5" s="299"/>
      <c r="E5" s="298"/>
      <c r="F5" s="316"/>
      <c r="H5" s="28" t="b">
        <f t="shared" si="0"/>
        <v>1</v>
      </c>
      <c r="I5" s="28" t="b">
        <f t="shared" ref="I5:I17" si="1">AND(E5&lt;=C5,E5&lt;=$I$3,E5&lt;=$K$7)</f>
        <v>1</v>
      </c>
      <c r="J5" s="28" t="b">
        <f t="shared" ref="J5:J17" si="2">AND(F5&lt;=C5,F5&lt;=$J$3,F5&lt;=$K$8)</f>
        <v>1</v>
      </c>
      <c r="K5" s="38">
        <f>K12+K18</f>
        <v>98</v>
      </c>
      <c r="L5" s="28" t="b">
        <f t="shared" ref="L5:L17" si="3">AND(B5&lt;=$H$2,B5&lt;=$K$4)</f>
        <v>1</v>
      </c>
      <c r="M5" s="28" t="b">
        <f t="shared" ref="M5:M17" si="4">AND(C5&lt;=$I$2,C5&lt;=$K$5)</f>
        <v>1</v>
      </c>
      <c r="N5" s="28" t="b">
        <f t="shared" ref="N5:N17" si="5">IF(AND(LEN(B5)=0,LEN(C5)&gt;0),FALSE,TRUE)</f>
        <v>1</v>
      </c>
      <c r="O5" s="101"/>
      <c r="P5" s="101"/>
    </row>
    <row r="6" spans="1:16" ht="24.95" customHeight="1">
      <c r="A6" s="317" t="s">
        <v>28</v>
      </c>
      <c r="B6" s="304">
        <v>4</v>
      </c>
      <c r="C6" s="300">
        <v>9</v>
      </c>
      <c r="D6" s="301">
        <v>5</v>
      </c>
      <c r="E6" s="300"/>
      <c r="F6" s="318"/>
      <c r="H6" s="28" t="b">
        <f t="shared" si="0"/>
        <v>1</v>
      </c>
      <c r="I6" s="28" t="b">
        <f t="shared" si="1"/>
        <v>1</v>
      </c>
      <c r="J6" s="28" t="b">
        <f t="shared" si="2"/>
        <v>1</v>
      </c>
      <c r="K6" s="38">
        <f>K13+K19</f>
        <v>96</v>
      </c>
      <c r="L6" s="28" t="b">
        <f t="shared" si="3"/>
        <v>1</v>
      </c>
      <c r="M6" s="28" t="b">
        <f t="shared" si="4"/>
        <v>1</v>
      </c>
      <c r="N6" s="28" t="b">
        <f t="shared" si="5"/>
        <v>1</v>
      </c>
      <c r="O6" s="101"/>
      <c r="P6" s="101"/>
    </row>
    <row r="7" spans="1:16" ht="24.95" customHeight="1">
      <c r="A7" s="315" t="s">
        <v>29</v>
      </c>
      <c r="B7" s="303">
        <v>46</v>
      </c>
      <c r="C7" s="298">
        <v>61</v>
      </c>
      <c r="D7" s="299">
        <v>55</v>
      </c>
      <c r="E7" s="298"/>
      <c r="F7" s="316"/>
      <c r="H7" s="28" t="b">
        <f t="shared" si="0"/>
        <v>1</v>
      </c>
      <c r="I7" s="28" t="b">
        <f t="shared" si="1"/>
        <v>1</v>
      </c>
      <c r="J7" s="28" t="b">
        <f t="shared" si="2"/>
        <v>1</v>
      </c>
      <c r="K7" s="38">
        <f>K14+K20</f>
        <v>0</v>
      </c>
      <c r="L7" s="28" t="b">
        <f t="shared" si="3"/>
        <v>1</v>
      </c>
      <c r="M7" s="28" t="b">
        <f t="shared" si="4"/>
        <v>1</v>
      </c>
      <c r="N7" s="28" t="b">
        <f t="shared" si="5"/>
        <v>1</v>
      </c>
      <c r="O7" s="101"/>
      <c r="P7" s="101"/>
    </row>
    <row r="8" spans="1:16" ht="24.95" customHeight="1">
      <c r="A8" s="319" t="s">
        <v>30</v>
      </c>
      <c r="B8" s="304">
        <v>1</v>
      </c>
      <c r="C8" s="300">
        <v>1</v>
      </c>
      <c r="D8" s="301"/>
      <c r="E8" s="300"/>
      <c r="F8" s="318"/>
      <c r="H8" s="28" t="b">
        <f t="shared" si="0"/>
        <v>1</v>
      </c>
      <c r="I8" s="28" t="b">
        <f t="shared" si="1"/>
        <v>1</v>
      </c>
      <c r="J8" s="28" t="b">
        <f t="shared" si="2"/>
        <v>1</v>
      </c>
      <c r="K8" s="38">
        <f>K15+K21</f>
        <v>0</v>
      </c>
      <c r="L8" s="28" t="b">
        <f t="shared" si="3"/>
        <v>1</v>
      </c>
      <c r="M8" s="28" t="b">
        <f t="shared" si="4"/>
        <v>1</v>
      </c>
      <c r="N8" s="28" t="b">
        <f t="shared" si="5"/>
        <v>1</v>
      </c>
      <c r="O8" s="101"/>
      <c r="P8" s="101"/>
    </row>
    <row r="9" spans="1:16" ht="24.95" customHeight="1">
      <c r="A9" s="315" t="s">
        <v>31</v>
      </c>
      <c r="B9" s="303"/>
      <c r="C9" s="298"/>
      <c r="D9" s="299"/>
      <c r="E9" s="298"/>
      <c r="F9" s="316"/>
      <c r="H9" s="28" t="b">
        <f t="shared" si="0"/>
        <v>1</v>
      </c>
      <c r="I9" s="28" t="b">
        <f t="shared" si="1"/>
        <v>1</v>
      </c>
      <c r="J9" s="28" t="b">
        <f t="shared" si="2"/>
        <v>1</v>
      </c>
      <c r="K9" s="38"/>
      <c r="L9" s="28" t="b">
        <f t="shared" si="3"/>
        <v>1</v>
      </c>
      <c r="M9" s="28" t="b">
        <f t="shared" si="4"/>
        <v>1</v>
      </c>
      <c r="N9" s="28" t="b">
        <f t="shared" si="5"/>
        <v>1</v>
      </c>
      <c r="O9" s="101"/>
      <c r="P9" s="101"/>
    </row>
    <row r="10" spans="1:16" ht="24.95" customHeight="1">
      <c r="A10" s="319" t="s">
        <v>32</v>
      </c>
      <c r="B10" s="304"/>
      <c r="C10" s="300"/>
      <c r="D10" s="301"/>
      <c r="E10" s="300"/>
      <c r="F10" s="318"/>
      <c r="H10" s="28" t="b">
        <f t="shared" si="0"/>
        <v>1</v>
      </c>
      <c r="I10" s="28" t="b">
        <f t="shared" si="1"/>
        <v>1</v>
      </c>
      <c r="J10" s="28" t="b">
        <f t="shared" si="2"/>
        <v>1</v>
      </c>
      <c r="K10" s="38">
        <f>SUM(B4:B17)</f>
        <v>219</v>
      </c>
      <c r="L10" s="28" t="b">
        <f t="shared" si="3"/>
        <v>1</v>
      </c>
      <c r="M10" s="28" t="b">
        <f t="shared" si="4"/>
        <v>1</v>
      </c>
      <c r="N10" s="28" t="b">
        <f t="shared" si="5"/>
        <v>1</v>
      </c>
      <c r="O10" s="101"/>
      <c r="P10" s="101"/>
    </row>
    <row r="11" spans="1:16" ht="24.95" customHeight="1">
      <c r="A11" s="315" t="s">
        <v>33</v>
      </c>
      <c r="B11" s="303">
        <v>3</v>
      </c>
      <c r="C11" s="298">
        <v>3</v>
      </c>
      <c r="D11" s="299"/>
      <c r="E11" s="298"/>
      <c r="F11" s="316"/>
      <c r="H11" s="28" t="b">
        <f t="shared" si="0"/>
        <v>1</v>
      </c>
      <c r="I11" s="28" t="b">
        <f t="shared" si="1"/>
        <v>1</v>
      </c>
      <c r="J11" s="28" t="b">
        <f t="shared" si="2"/>
        <v>1</v>
      </c>
      <c r="K11" s="38">
        <f>SUM(COYT!F9:K13)</f>
        <v>38</v>
      </c>
      <c r="L11" s="28" t="b">
        <f t="shared" si="3"/>
        <v>1</v>
      </c>
      <c r="M11" s="28" t="b">
        <f t="shared" si="4"/>
        <v>1</v>
      </c>
      <c r="N11" s="28" t="b">
        <f t="shared" si="5"/>
        <v>1</v>
      </c>
      <c r="O11" s="101"/>
      <c r="P11" s="101"/>
    </row>
    <row r="12" spans="1:16" ht="24.95" customHeight="1">
      <c r="A12" s="319" t="s">
        <v>34</v>
      </c>
      <c r="B12" s="304"/>
      <c r="C12" s="300"/>
      <c r="D12" s="301"/>
      <c r="E12" s="300"/>
      <c r="F12" s="318"/>
      <c r="H12" s="28" t="b">
        <f t="shared" si="0"/>
        <v>1</v>
      </c>
      <c r="I12" s="28" t="b">
        <f t="shared" si="1"/>
        <v>1</v>
      </c>
      <c r="J12" s="28" t="b">
        <f t="shared" si="2"/>
        <v>1</v>
      </c>
      <c r="K12" s="38">
        <f>SUM(COYT!L9:Q13)</f>
        <v>49</v>
      </c>
      <c r="L12" s="28" t="b">
        <f t="shared" si="3"/>
        <v>1</v>
      </c>
      <c r="M12" s="28" t="b">
        <f t="shared" si="4"/>
        <v>1</v>
      </c>
      <c r="N12" s="28" t="b">
        <f t="shared" si="5"/>
        <v>1</v>
      </c>
      <c r="O12" s="101"/>
      <c r="P12" s="101"/>
    </row>
    <row r="13" spans="1:16" ht="24.95" customHeight="1">
      <c r="A13" s="315" t="s">
        <v>35</v>
      </c>
      <c r="B13" s="303"/>
      <c r="C13" s="298"/>
      <c r="D13" s="299"/>
      <c r="E13" s="298"/>
      <c r="F13" s="316"/>
      <c r="H13" s="28" t="b">
        <f t="shared" si="0"/>
        <v>1</v>
      </c>
      <c r="I13" s="28" t="b">
        <f t="shared" si="1"/>
        <v>1</v>
      </c>
      <c r="J13" s="28" t="b">
        <f t="shared" si="2"/>
        <v>1</v>
      </c>
      <c r="K13" s="38">
        <f>SUM(COYT!R9:W13)</f>
        <v>48</v>
      </c>
      <c r="L13" s="28" t="b">
        <f t="shared" si="3"/>
        <v>1</v>
      </c>
      <c r="M13" s="28" t="b">
        <f t="shared" si="4"/>
        <v>1</v>
      </c>
      <c r="N13" s="28" t="b">
        <f t="shared" si="5"/>
        <v>1</v>
      </c>
      <c r="O13" s="101"/>
      <c r="P13" s="101"/>
    </row>
    <row r="14" spans="1:16" ht="24.95" customHeight="1">
      <c r="A14" s="319" t="s">
        <v>110</v>
      </c>
      <c r="B14" s="304">
        <v>46</v>
      </c>
      <c r="C14" s="300">
        <v>61</v>
      </c>
      <c r="D14" s="301">
        <v>55</v>
      </c>
      <c r="E14" s="300"/>
      <c r="F14" s="318"/>
      <c r="H14" s="28" t="b">
        <f t="shared" si="0"/>
        <v>1</v>
      </c>
      <c r="I14" s="28" t="b">
        <f t="shared" si="1"/>
        <v>1</v>
      </c>
      <c r="J14" s="28" t="b">
        <f t="shared" si="2"/>
        <v>1</v>
      </c>
      <c r="K14" s="38">
        <f>SUM(COYT!X9:AC13)</f>
        <v>0</v>
      </c>
      <c r="L14" s="28" t="b">
        <f t="shared" si="3"/>
        <v>1</v>
      </c>
      <c r="M14" s="28" t="b">
        <f t="shared" si="4"/>
        <v>1</v>
      </c>
      <c r="N14" s="28" t="b">
        <f t="shared" si="5"/>
        <v>1</v>
      </c>
      <c r="O14" s="101"/>
      <c r="P14" s="101"/>
    </row>
    <row r="15" spans="1:16" ht="24.95" customHeight="1">
      <c r="A15" s="315" t="s">
        <v>36</v>
      </c>
      <c r="B15" s="303">
        <v>46</v>
      </c>
      <c r="C15" s="298">
        <v>60</v>
      </c>
      <c r="D15" s="299">
        <v>55</v>
      </c>
      <c r="E15" s="298"/>
      <c r="F15" s="316"/>
      <c r="H15" s="28" t="b">
        <f t="shared" si="0"/>
        <v>1</v>
      </c>
      <c r="I15" s="28" t="b">
        <f t="shared" si="1"/>
        <v>1</v>
      </c>
      <c r="J15" s="28" t="b">
        <f t="shared" si="2"/>
        <v>1</v>
      </c>
      <c r="K15" s="38">
        <f>SUM(COYT!AD9:AI13)</f>
        <v>0</v>
      </c>
      <c r="L15" s="28" t="b">
        <f t="shared" si="3"/>
        <v>1</v>
      </c>
      <c r="M15" s="28" t="b">
        <f t="shared" si="4"/>
        <v>1</v>
      </c>
      <c r="N15" s="28" t="b">
        <f t="shared" si="5"/>
        <v>1</v>
      </c>
      <c r="O15" s="101"/>
      <c r="P15" s="101"/>
    </row>
    <row r="16" spans="1:16" ht="24.95" customHeight="1">
      <c r="A16" s="319" t="s">
        <v>37</v>
      </c>
      <c r="B16" s="304">
        <v>42</v>
      </c>
      <c r="C16" s="300">
        <v>56</v>
      </c>
      <c r="D16" s="301">
        <v>51</v>
      </c>
      <c r="E16" s="300"/>
      <c r="F16" s="318"/>
      <c r="H16" s="28" t="b">
        <f t="shared" si="0"/>
        <v>1</v>
      </c>
      <c r="I16" s="28" t="b">
        <f t="shared" si="1"/>
        <v>1</v>
      </c>
      <c r="J16" s="28" t="b">
        <f t="shared" si="2"/>
        <v>1</v>
      </c>
      <c r="K16" s="38"/>
      <c r="L16" s="28" t="b">
        <f t="shared" si="3"/>
        <v>1</v>
      </c>
      <c r="M16" s="28" t="b">
        <f t="shared" si="4"/>
        <v>1</v>
      </c>
      <c r="N16" s="28" t="b">
        <f t="shared" si="5"/>
        <v>1</v>
      </c>
      <c r="O16" s="101"/>
      <c r="P16" s="101"/>
    </row>
    <row r="17" spans="1:16" ht="24.95" customHeight="1" thickBot="1">
      <c r="A17" s="320" t="s">
        <v>38</v>
      </c>
      <c r="B17" s="321">
        <v>21</v>
      </c>
      <c r="C17" s="322">
        <v>40</v>
      </c>
      <c r="D17" s="323">
        <v>29</v>
      </c>
      <c r="E17" s="322"/>
      <c r="F17" s="324"/>
      <c r="H17" s="28" t="b">
        <f t="shared" si="0"/>
        <v>1</v>
      </c>
      <c r="I17" s="28" t="b">
        <f t="shared" si="1"/>
        <v>1</v>
      </c>
      <c r="J17" s="28" t="b">
        <f t="shared" si="2"/>
        <v>1</v>
      </c>
      <c r="K17" s="38">
        <f>SUM(APM!C18:C22)</f>
        <v>38</v>
      </c>
      <c r="L17" s="28" t="b">
        <f t="shared" si="3"/>
        <v>1</v>
      </c>
      <c r="M17" s="28" t="b">
        <f t="shared" si="4"/>
        <v>1</v>
      </c>
      <c r="N17" s="28" t="b">
        <f t="shared" si="5"/>
        <v>1</v>
      </c>
      <c r="O17" s="101"/>
      <c r="P17" s="101"/>
    </row>
    <row r="18" spans="1:16" ht="111" customHeight="1">
      <c r="A18" s="621" t="str">
        <f>IF(H18=FALSE,CONCATENATE("ВНИМАНИЕ!
В организации имеются рабочие места
с вредными условиями труда ",SUM(COYT!F9:K12)+SUM(APM!C18:C21)," ед.",IF((COYT!F13+APM!C22)&gt;0,"
 и опасными условиями труда - "&amp;(COYT!F13+APM!C22)&amp;" ед.!"," "),"
СЛЕДУЕТ ЗАПОЛНИТЬ ВЫШЕПРИВЕДЕННУЮ ТАБЛИЦУ")," ")</f>
        <v xml:space="preserve"> </v>
      </c>
      <c r="B18" s="621"/>
      <c r="C18" s="621"/>
      <c r="D18" s="621"/>
      <c r="E18" s="621"/>
      <c r="F18" s="621"/>
      <c r="H18" s="26" t="b">
        <f>IF(OR(LEN(Титул!C9)=0,SUM(B4:B17)&gt;0),TRUE,AND(SUM(COYT!F9:K13)=0,SUM(APM!C18:C22)=0))</f>
        <v>1</v>
      </c>
      <c r="I18" s="26" t="b">
        <f>IF(H18=TRUE,OR(K10&gt;=K4,K10&gt;=K11),TRUE)</f>
        <v>1</v>
      </c>
      <c r="K18" s="26">
        <f>SUM(APM!D18:D22)</f>
        <v>49</v>
      </c>
      <c r="O18" s="99"/>
      <c r="P18" s="99"/>
    </row>
    <row r="19" spans="1:16" ht="16.5" customHeight="1">
      <c r="A19" s="630"/>
      <c r="B19" s="630"/>
      <c r="C19" s="630"/>
      <c r="D19" s="630"/>
      <c r="E19" s="630"/>
      <c r="F19" s="630"/>
      <c r="H19" s="26">
        <f>IF(H18=FALSE,1,0)</f>
        <v>0</v>
      </c>
      <c r="I19" s="26"/>
      <c r="K19" s="26">
        <f>SUM(APM!E18:E22)</f>
        <v>48</v>
      </c>
      <c r="O19" s="99"/>
      <c r="P19" s="99"/>
    </row>
    <row r="20" spans="1:16" ht="71.25" customHeight="1" thickBot="1">
      <c r="A20" s="615" t="s">
        <v>493</v>
      </c>
      <c r="B20" s="615"/>
      <c r="C20" s="615"/>
      <c r="D20" s="615"/>
      <c r="E20" s="615"/>
      <c r="F20" s="615"/>
      <c r="K20" s="26">
        <f>SUM(APM!F18:F22)</f>
        <v>0</v>
      </c>
      <c r="O20" s="99"/>
      <c r="P20" s="99"/>
    </row>
    <row r="21" spans="1:16" ht="22.5" customHeight="1" thickTop="1" thickBot="1">
      <c r="A21" s="629" t="s">
        <v>492</v>
      </c>
      <c r="B21" s="629"/>
      <c r="C21" s="629"/>
      <c r="D21" s="629"/>
      <c r="E21" s="629"/>
      <c r="F21" s="629"/>
      <c r="K21" s="26">
        <f>SUM(APM!G18:G22)</f>
        <v>0</v>
      </c>
      <c r="O21" s="99"/>
      <c r="P21" s="99"/>
    </row>
    <row r="22" spans="1:16" ht="22.5" customHeight="1" thickTop="1">
      <c r="A22" s="622" t="str">
        <f>IF(H22&gt;0,CONCATENATE("УКАЗАТЕЛЬ ОТДЕЛЬНЫХ ОШИБОК ДАННЫХ (замечаний ‒ ",H22," шт.)"),"")</f>
        <v/>
      </c>
      <c r="B22" s="622"/>
      <c r="C22" s="622"/>
      <c r="D22" s="622"/>
      <c r="E22" s="622"/>
      <c r="F22" s="622"/>
      <c r="H22" s="12">
        <f>16-COUNTIF(A23:F38," ")</f>
        <v>0</v>
      </c>
    </row>
    <row r="23" spans="1:16" ht="21" customHeight="1">
      <c r="A23" s="619" t="str">
        <f>IF(AND(K4+K5+K6+K7+K8=0,SUM(B4:F17)&gt;1),"ВНИМАТЕЛЬНО ПРОЧИТАЙ указание в красной строке!!!"," ")</f>
        <v xml:space="preserve"> </v>
      </c>
      <c r="B23" s="619"/>
      <c r="C23" s="619"/>
      <c r="D23" s="619"/>
      <c r="E23" s="619"/>
      <c r="F23" s="619"/>
    </row>
    <row r="24" spans="1:16" ht="32.1" customHeight="1">
      <c r="A24" s="620" t="str">
        <f>IF(OR(B4&gt;H2,B5&gt;H2,B6&gt;H2,B7&gt;H2,B8&gt;H2,B9&gt;H2,B10&gt;H2,B11&gt;H2,B12&gt;H2,B13&gt;H2,B14&gt;H2,B15&gt;H2,B16&gt;H2,B17&gt;H2),CONCATENATE("Выделенное значение количества рабочих мест с данным вредным производственным фактором (",LARGE(B4:B17,1)," р.м.) превышает количество всех рабочих мест в организации (",H2," р.м.)")," ")</f>
        <v xml:space="preserve"> </v>
      </c>
      <c r="B24" s="620"/>
      <c r="C24" s="620"/>
      <c r="D24" s="620"/>
      <c r="E24" s="620"/>
      <c r="F24" s="620"/>
    </row>
    <row r="25" spans="1:16" ht="32.1" customHeight="1">
      <c r="A25" s="617" t="str">
        <f>IF(OR(B4&gt;K4,B5&gt;K4,B6&gt;K4,B7&gt;K4,B8&gt;K4,B9&gt;K4,B10&gt;K4,B11&gt;K4,B12&gt;K4,B13&gt;K4,B14&gt;K4,B15&gt;K4,B16&gt;K4,B17&gt;K4),CONCATENATE("Выделенное значение количества рабочих мест с данным вредным производственным фактором (",LARGE(B4:B17,1)," р.м.) превышает количество всех рабочих мест с вредными и (или) опасными условиями труда в организации (",K4," р.м.)")," ")</f>
        <v xml:space="preserve"> </v>
      </c>
      <c r="B25" s="617"/>
      <c r="C25" s="617"/>
      <c r="D25" s="617"/>
      <c r="E25" s="617"/>
      <c r="F25" s="617"/>
    </row>
    <row r="26" spans="1:16" ht="32.1" customHeight="1">
      <c r="A26" s="620" t="str">
        <f>IF(OR(C4&gt;I2,C5&gt;I2,C6&gt;I2,C7&gt;I2,C8&gt;I2,C9&gt;I2,C10&gt;I2,C11&gt;I2,C12&gt;I2,C13&gt;I2,C14&gt;I2,C15&gt;I2,C16&gt;I2,C17&gt;I2),CONCATENATE("Выделенное значение численности работников, занятых на рабочих местах с данным вредным производственным фактором (",LARGE(C4:C17,1)," чел.), превышает численность работников в организации (",I2," чел.)")," ")</f>
        <v xml:space="preserve"> </v>
      </c>
      <c r="B26" s="620"/>
      <c r="C26" s="620"/>
      <c r="D26" s="620"/>
      <c r="E26" s="620"/>
      <c r="F26" s="620"/>
    </row>
    <row r="27" spans="1:16" ht="40.5" customHeight="1">
      <c r="A27" s="617" t="str">
        <f>IF(OR(C4&gt;K5,C5&gt;K5,C6&gt;K5,C7&gt;K5,C8&gt;K5,C9&gt;K5,C10&gt;K5,C11&gt;K5,C12&gt;K5,C13&gt;K5,C14&gt;K5,C15&gt;K5,C16&gt;K5,C17&gt;K5),CONCATENATE("Выделенное значение численности работников, занятых на рабочих местах с данным вредным производственным фактором (",LARGE(C4:C17,1)," чел.), превышает численность работников, занятых на всех рабочих местах с вредными и (или) опасными условиями труда в организации (",K5," чел.)")," ")</f>
        <v xml:space="preserve"> </v>
      </c>
      <c r="B27" s="617"/>
      <c r="C27" s="617"/>
      <c r="D27" s="617"/>
      <c r="E27" s="617"/>
      <c r="F27" s="617"/>
    </row>
    <row r="28" spans="1:16" ht="32.1" customHeight="1">
      <c r="A28" s="617" t="str">
        <f>IF(OR(D4&gt;H3,D5&gt;H3,D6&gt;H3,D7&gt;H3,D8&gt;H3,D9&gt;H3,D10&gt;H3,D11&gt;H3,D12&gt;H3,D13&gt;H3,D14&gt;H3,D15&gt;H3,D16&gt;H3,D17&gt;H3),CONCATENATE("Выделенное значение численности женщин, занятых на рабочих местах с данным вредным производственным фактором (",LARGE(D4:D17,1)," чел.), превышает численность всех женщин в организации (",H3," чел.)")," ")</f>
        <v xml:space="preserve"> </v>
      </c>
      <c r="B28" s="617"/>
      <c r="C28" s="617"/>
      <c r="D28" s="617"/>
      <c r="E28" s="617"/>
      <c r="F28" s="617"/>
    </row>
    <row r="29" spans="1:16" ht="41.25" customHeight="1">
      <c r="A29" s="617" t="str">
        <f>IF(OR(D4&gt;K6,D5&gt;K6,D6&gt;K6,D7&gt;K6,D8&gt;K6,D9&gt;K6,D10&gt;K6,D11&gt;K6,D12&gt;K6,D13&gt;K6,D14&gt;K6,D15&gt;K6,D16&gt;K6,D17&gt;K6),CONCATENATE("Выделенное значение численности женщин, занятых на рабочих местах с данным вредным производственным фактором (",LARGE(D4:D17,1)," чел.), превышает численность женщин, занятых на всех рабочих местах с вредными и (или) опасными условиями труда в организации (",K6," чел.)")," ")</f>
        <v xml:space="preserve"> </v>
      </c>
      <c r="B29" s="617"/>
      <c r="C29" s="617"/>
      <c r="D29" s="617"/>
      <c r="E29" s="617"/>
      <c r="F29" s="617"/>
    </row>
    <row r="30" spans="1:16" ht="32.1" customHeight="1">
      <c r="A30" s="617" t="str">
        <f>IF(OR(E4&gt;I3,E5&gt;I3,E6&gt;I3,E7&gt;I3,E8&gt;I3,E9&gt;I3,E10&gt;I3,E11&gt;I3,E12&gt;I3,E13&gt;I3,E14&gt;I3,E15&gt;I3,E16&gt;I3,E17&gt;I3),CONCATENATE("Выделенное значение численности лиц моложе 18 лет, занятых на рабочих местах с данным вредным производственным фактором (",LARGE(E4:E17,1)," чел.), превышает численность всех лиц моложе 18 лет в организации (",I3," чел.)")," ")</f>
        <v xml:space="preserve"> </v>
      </c>
      <c r="B30" s="617"/>
      <c r="C30" s="617"/>
      <c r="D30" s="617"/>
      <c r="E30" s="617"/>
      <c r="F30" s="617"/>
    </row>
    <row r="31" spans="1:16" ht="41.25" customHeight="1">
      <c r="A31" s="617" t="str">
        <f>IF(OR(E4&gt;K7,E5&gt;K7,E6&gt;K7,E7&gt;K7,E8&gt;K7,E9&gt;K7,E10&gt;K7,E11&gt;K7,E12&gt;K7,E13&gt;K7,E14&gt;K7,E15&gt;K7,E16&gt;K7,E17&gt;K7),CONCATENATE("Выделенное значение численности лиц моложе 18 лет, занятых на рабочих местах с данным вредным производственным фактором (",LARGE(E4:E17,1)," чел.), превышает численность лиц моложе 18 лет, занятых на всех рабочих местах с вредными и (или) опасными условиями труда в организации (",K7," чел.)")," ")</f>
        <v xml:space="preserve"> </v>
      </c>
      <c r="B31" s="617"/>
      <c r="C31" s="617"/>
      <c r="D31" s="617"/>
      <c r="E31" s="617"/>
      <c r="F31" s="617"/>
    </row>
    <row r="32" spans="1:16" ht="32.1" customHeight="1">
      <c r="A32" s="617" t="str">
        <f>IF(OR(F4&gt;J3,F5&gt;J3,F6&gt;J3,F7&gt;J3,F8&gt;J3,F9&gt;J3,F10&gt;J3,F11&gt;J3,F12&gt;J3,F13&gt;J3,F14&gt;J3,F15&gt;J3,F16&gt;J3,F17&gt;J3),CONCATENATE("Выделенное значение численности инвалидов, занятых на рабочих местах с данным вредным производственным фактором (",LARGE(F4:F17,1)," чел.), превышает численность всех инвалидов в организации (",J3," чел.)")," ")</f>
        <v xml:space="preserve"> </v>
      </c>
      <c r="B32" s="617"/>
      <c r="C32" s="617"/>
      <c r="D32" s="617"/>
      <c r="E32" s="617"/>
      <c r="F32" s="617"/>
    </row>
    <row r="33" spans="1:6" ht="41.25" customHeight="1">
      <c r="A33" s="617" t="str">
        <f>IF(OR(F4&gt;K8,F5&gt;K8,F6&gt;K8,F7&gt;K8,F8&gt;K8,F9&gt;K8,F10&gt;K8,F11&gt;K8,F12&gt;K8,F13&gt;K8,F14&gt;K8,F15&gt;K8,F16&gt;K8,F17&gt;K8),CONCATENATE("Выделенное значение численности инвалидов, занятых на рабочих местах с данным вредным производственным фактором (",LARGE(F4:F17,1)," чел.), превышает численность инвалидов, занятых на всех рабочих местах с вредными и (или) опасными условиями труда в организации (",K8," чел.)")," ")</f>
        <v xml:space="preserve"> </v>
      </c>
      <c r="B33" s="617"/>
      <c r="C33" s="617"/>
      <c r="D33" s="617"/>
      <c r="E33" s="617"/>
      <c r="F33" s="617"/>
    </row>
    <row r="34" spans="1:6" ht="32.1" customHeight="1">
      <c r="A34" s="617" t="str">
        <f>IF(OR(D4&gt;C4,D5&gt;C5,D6&gt;C6,D7&gt;C7,D8&gt;C8,D9&gt;C9,D10&gt;C10,D11&gt;C11,D12&gt;C12,D13&gt;C13,D14&gt;C14,D15&gt;C15,D16&gt;C16,D17&gt;C17),CONCATENATE("Выделенное значение численности женщин (",LARGE(D4:D17,1)," чел.) превышает численность всех работников, занятых на рабочих местах с такими же условиями труда (",INDEX(C4:J17,MATCH(LARGE(D4:D17,1),D4:D17,0),1)," чел.)")," ")</f>
        <v xml:space="preserve"> </v>
      </c>
      <c r="B34" s="617"/>
      <c r="C34" s="617"/>
      <c r="D34" s="617"/>
      <c r="E34" s="617"/>
      <c r="F34" s="617"/>
    </row>
    <row r="35" spans="1:6" ht="32.1" customHeight="1">
      <c r="A35" s="617" t="str">
        <f>IF(OR(E4&gt;C4,E5&gt;C5,E6&gt;C6,E7&gt;C7,E8&gt;C8,E9&gt;C9,E10&gt;C10,E11&gt;C11,E12&gt;C12,E13&gt;C13,E14&gt;C14,E15&gt;C15,E16&gt;C16,E17&gt;C17),CONCATENATE("Выделенное значение численности лиц моложе 18 лет (",LARGE(E4:E17,1)," чел.) превышает численность всех работников, занятых на рабочих местах с такими же условиями труда (",INDEX(C4:J17,MATCH(LARGE(E4:E17,1),E4:E17,0),1)," чел.)")," ")</f>
        <v xml:space="preserve"> </v>
      </c>
      <c r="B35" s="617"/>
      <c r="C35" s="617"/>
      <c r="D35" s="617"/>
      <c r="E35" s="617"/>
      <c r="F35" s="617"/>
    </row>
    <row r="36" spans="1:6" ht="32.1" customHeight="1">
      <c r="A36" s="617" t="str">
        <f>IF(OR(F4&gt;C4,F5&gt;C5,F6&gt;C6,F7&gt;C7,F8&gt;C8,F9&gt;C9,F10&gt;C10,F11&gt;C11,F12&gt;C12,F13&gt;C13,F14&gt;C14,F15&gt;C15,F16&gt;C16,F17&gt;C17),CONCATENATE("Выделенное значение численности инвалидов (",LARGE(F4:F17,1)," чел.) превышает численность всех работников, занятых на рабочих местах с такими же условиями труда (",INDEX(C4:J17,MATCH(LARGE(F4:F17,1),F4:F17,0),1)," чел.)")," ")</f>
        <v xml:space="preserve"> </v>
      </c>
      <c r="B36" s="617"/>
      <c r="C36" s="617"/>
      <c r="D36" s="617"/>
      <c r="E36" s="617"/>
      <c r="F36" s="617"/>
    </row>
    <row r="37" spans="1:6" ht="41.25" customHeight="1">
      <c r="A37" s="617" t="str">
        <f>IF(I18=FALSE,CONCATENATE("Согласно введенным данным в листы &lt;COYT&gt; и &lt;APM&gt; в организации вредные и опасные условия труда установлены на ",MAX(K4,K11)," рабочих местах. Однако исходя из данных, введенных в таблицу на этом листе, указанных рабочих мест должно быть не более ",K10," р.м.!")," ")</f>
        <v xml:space="preserve"> </v>
      </c>
      <c r="B37" s="617"/>
      <c r="C37" s="617"/>
      <c r="D37" s="617"/>
      <c r="E37" s="617"/>
      <c r="F37" s="617"/>
    </row>
    <row r="38" spans="1:6" ht="21" customHeight="1">
      <c r="A38" s="617" t="str">
        <f>IF(OR(N4=FALSE,N5=FALSE,N6=FALSE,N7=FALSE,N8=FALSE,N9=FALSE,N10=FALSE,N11=FALSE,N12=FALSE,N13=FALSE,N14=FALSE,N15=FALSE,N16=FALSE,N17=FALSE),"Для выделенного значения численности работников не указано количество рабочих мест, на которых они заняты!"," ")</f>
        <v xml:space="preserve"> </v>
      </c>
      <c r="B38" s="617"/>
      <c r="C38" s="617"/>
      <c r="D38" s="617"/>
      <c r="E38" s="617"/>
      <c r="F38" s="617"/>
    </row>
    <row r="39" spans="1:6" ht="15" customHeight="1">
      <c r="A39" s="618" t="s">
        <v>402</v>
      </c>
      <c r="B39" s="618"/>
      <c r="C39" s="618"/>
      <c r="D39" s="618"/>
      <c r="E39" s="618"/>
      <c r="F39" s="618"/>
    </row>
    <row r="40" spans="1:6" ht="32.1" customHeight="1"/>
    <row r="41" spans="1:6" ht="32.1" customHeight="1"/>
    <row r="42" spans="1:6" ht="32.1" customHeight="1"/>
    <row r="43" spans="1:6" ht="32.1" customHeight="1"/>
  </sheetData>
  <sheetProtection password="CE28" sheet="1" objects="1" scenarios="1" selectLockedCells="1"/>
  <mergeCells count="26">
    <mergeCell ref="A18:F18"/>
    <mergeCell ref="A20:F20"/>
    <mergeCell ref="A22:F22"/>
    <mergeCell ref="A1:F1"/>
    <mergeCell ref="A2:A3"/>
    <mergeCell ref="B2:B3"/>
    <mergeCell ref="C2:F2"/>
    <mergeCell ref="A21:F21"/>
    <mergeCell ref="A19:F19"/>
    <mergeCell ref="A23:F23"/>
    <mergeCell ref="A27:F27"/>
    <mergeCell ref="A28:F28"/>
    <mergeCell ref="A29:F29"/>
    <mergeCell ref="A26:F26"/>
    <mergeCell ref="A24:F24"/>
    <mergeCell ref="A25:F25"/>
    <mergeCell ref="A38:F38"/>
    <mergeCell ref="A39:F39"/>
    <mergeCell ref="A30:F30"/>
    <mergeCell ref="A31:F31"/>
    <mergeCell ref="A32:F32"/>
    <mergeCell ref="A36:F36"/>
    <mergeCell ref="A35:F35"/>
    <mergeCell ref="A33:F33"/>
    <mergeCell ref="A34:F34"/>
    <mergeCell ref="A37:F37"/>
  </mergeCells>
  <phoneticPr fontId="41" type="noConversion"/>
  <conditionalFormatting sqref="A24:E24">
    <cfRule type="expression" dxfId="45" priority="6" stopIfTrue="1">
      <formula>$A$24=" "</formula>
    </cfRule>
  </conditionalFormatting>
  <conditionalFormatting sqref="A26:E26">
    <cfRule type="expression" dxfId="44" priority="4" stopIfTrue="1">
      <formula>$A$26=" "</formula>
    </cfRule>
  </conditionalFormatting>
  <conditionalFormatting sqref="A22:F22">
    <cfRule type="expression" dxfId="43" priority="16" stopIfTrue="1">
      <formula>$H$22&gt;0</formula>
    </cfRule>
  </conditionalFormatting>
  <conditionalFormatting sqref="D4:F17">
    <cfRule type="expression" dxfId="42" priority="20" stopIfTrue="1">
      <formula>H4=FALSE</formula>
    </cfRule>
  </conditionalFormatting>
  <conditionalFormatting sqref="A18:F18">
    <cfRule type="expression" dxfId="41" priority="21" stopIfTrue="1">
      <formula>H18=FALSE</formula>
    </cfRule>
  </conditionalFormatting>
  <conditionalFormatting sqref="A19:F19">
    <cfRule type="expression" dxfId="40" priority="22" stopIfTrue="1">
      <formula>H18=FALSE</formula>
    </cfRule>
  </conditionalFormatting>
  <conditionalFormatting sqref="B4">
    <cfRule type="expression" dxfId="39" priority="23" stopIfTrue="1">
      <formula>AND(L4,I18)=FALSE</formula>
    </cfRule>
  </conditionalFormatting>
  <conditionalFormatting sqref="B5">
    <cfRule type="expression" dxfId="38" priority="24" stopIfTrue="1">
      <formula>AND(L5,I18)=FALSE</formula>
    </cfRule>
  </conditionalFormatting>
  <conditionalFormatting sqref="B6">
    <cfRule type="expression" dxfId="37" priority="25" stopIfTrue="1">
      <formula>AND(L6,I18)=FALSE</formula>
    </cfRule>
  </conditionalFormatting>
  <conditionalFormatting sqref="B7">
    <cfRule type="expression" dxfId="36" priority="26" stopIfTrue="1">
      <formula>AND(L7,I18)=FALSE</formula>
    </cfRule>
  </conditionalFormatting>
  <conditionalFormatting sqref="B8">
    <cfRule type="expression" dxfId="35" priority="27" stopIfTrue="1">
      <formula>AND(L8,I18)=FALSE</formula>
    </cfRule>
  </conditionalFormatting>
  <conditionalFormatting sqref="B9">
    <cfRule type="expression" dxfId="34" priority="28" stopIfTrue="1">
      <formula>AND(L9,I18)=FALSE</formula>
    </cfRule>
  </conditionalFormatting>
  <conditionalFormatting sqref="B10">
    <cfRule type="expression" dxfId="33" priority="29" stopIfTrue="1">
      <formula>AND(L10,I18)=FALSE</formula>
    </cfRule>
  </conditionalFormatting>
  <conditionalFormatting sqref="B11">
    <cfRule type="expression" dxfId="32" priority="30" stopIfTrue="1">
      <formula>AND(L11,I18)=FALSE</formula>
    </cfRule>
  </conditionalFormatting>
  <conditionalFormatting sqref="B12">
    <cfRule type="expression" dxfId="31" priority="31" stopIfTrue="1">
      <formula>AND(L12,I18)=FALSE</formula>
    </cfRule>
  </conditionalFormatting>
  <conditionalFormatting sqref="B13">
    <cfRule type="expression" dxfId="30" priority="32" stopIfTrue="1">
      <formula>AND(L13,I18)=FALSE</formula>
    </cfRule>
  </conditionalFormatting>
  <conditionalFormatting sqref="B14">
    <cfRule type="expression" dxfId="29" priority="33" stopIfTrue="1">
      <formula>AND(L14,I18)=FALSE</formula>
    </cfRule>
  </conditionalFormatting>
  <conditionalFormatting sqref="B15">
    <cfRule type="expression" dxfId="28" priority="34" stopIfTrue="1">
      <formula>AND(L15,I18)=FALSE</formula>
    </cfRule>
  </conditionalFormatting>
  <conditionalFormatting sqref="B16">
    <cfRule type="expression" dxfId="27" priority="35" stopIfTrue="1">
      <formula>AND(L16,I18)=FALSE</formula>
    </cfRule>
  </conditionalFormatting>
  <conditionalFormatting sqref="A39:F39">
    <cfRule type="expression" dxfId="26" priority="36" stopIfTrue="1">
      <formula>H22&gt;0</formula>
    </cfRule>
  </conditionalFormatting>
  <conditionalFormatting sqref="C4:C16">
    <cfRule type="expression" dxfId="25" priority="37" stopIfTrue="1">
      <formula>AND(M4,N4)=FALSE</formula>
    </cfRule>
  </conditionalFormatting>
  <conditionalFormatting sqref="C17">
    <cfRule type="expression" dxfId="24" priority="38" stopIfTrue="1">
      <formula>AND(M17,N17)=FALSE</formula>
    </cfRule>
  </conditionalFormatting>
  <conditionalFormatting sqref="B17">
    <cfRule type="expression" dxfId="23" priority="39" stopIfTrue="1">
      <formula>AND(L17,I18)=FALSE</formula>
    </cfRule>
  </conditionalFormatting>
  <dataValidations count="1">
    <dataValidation type="whole" operator="greaterThanOrEqual" allowBlank="1" showErrorMessage="1" errorTitle="ВНИМАНИЕ!" error="Введено недопустимое значение" sqref="B4:G17">
      <formula1>0</formula1>
    </dataValidation>
  </dataValidations>
  <printOptions horizontalCentered="1"/>
  <pageMargins left="0.39370078740157483" right="0.39370078740157483" top="1.1811023622047245" bottom="0.59055118110236227" header="0.31496062992125984" footer="0.31496062992125984"/>
  <pageSetup paperSize="9" orientation="portrait" blackAndWhite="1" horizontalDpi="180" verticalDpi="180" r:id="rId1"/>
  <headerFooter differentFirst="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FFFF"/>
    <pageSetUpPr autoPageBreaks="0"/>
  </sheetPr>
  <dimension ref="A1:P35"/>
  <sheetViews>
    <sheetView showGridLines="0" showRowColHeaders="0" showZeros="0" zoomScale="115" zoomScaleNormal="130" zoomScaleSheetLayoutView="100" workbookViewId="0">
      <selection activeCell="D11" sqref="D11"/>
    </sheetView>
  </sheetViews>
  <sheetFormatPr defaultRowHeight="15"/>
  <cols>
    <col min="1" max="1" width="48.5703125" style="9" customWidth="1"/>
    <col min="2" max="2" width="12.28515625" style="9" customWidth="1"/>
    <col min="3" max="6" width="11.7109375" style="9" customWidth="1"/>
    <col min="7" max="7" width="18.7109375" style="9" customWidth="1"/>
    <col min="8" max="8" width="6.7109375" style="342" hidden="1" customWidth="1"/>
    <col min="9" max="11" width="6.7109375" style="12" hidden="1" customWidth="1"/>
    <col min="12" max="14" width="6.7109375" style="31" hidden="1" customWidth="1"/>
    <col min="15" max="15" width="8.7109375" style="13" customWidth="1"/>
    <col min="16" max="16" width="8.7109375" style="9" customWidth="1"/>
    <col min="17" max="16384" width="9.140625" style="9"/>
  </cols>
  <sheetData>
    <row r="1" spans="1:16" s="2" customFormat="1" ht="78.75" customHeight="1">
      <c r="A1" s="607" t="s">
        <v>464</v>
      </c>
      <c r="B1" s="607"/>
      <c r="C1" s="607"/>
      <c r="D1" s="607"/>
      <c r="E1" s="607"/>
      <c r="F1" s="607"/>
      <c r="G1" s="607"/>
      <c r="H1" s="337"/>
      <c r="I1" s="48"/>
      <c r="J1" s="38"/>
      <c r="K1" s="28"/>
      <c r="L1" s="29"/>
      <c r="M1" s="29"/>
      <c r="N1" s="29"/>
      <c r="O1" s="102"/>
      <c r="P1" s="4"/>
    </row>
    <row r="2" spans="1:16" s="2" customFormat="1" ht="24.95" customHeight="1">
      <c r="A2" s="633" t="s">
        <v>498</v>
      </c>
      <c r="B2" s="633"/>
      <c r="C2" s="633"/>
      <c r="D2" s="633"/>
      <c r="E2" s="364">
        <v>61</v>
      </c>
      <c r="F2" s="309" t="s">
        <v>234</v>
      </c>
      <c r="G2" s="18"/>
      <c r="H2" s="338"/>
      <c r="I2" s="28" t="b">
        <f>AND(E2&lt;=I5,E2&gt;=MAX(C7:C15,E9:E15),E2&lt;=(SUM(C7:C15)+SUM(E9:E15)))</f>
        <v>1</v>
      </c>
      <c r="J2" s="38"/>
      <c r="K2" s="28"/>
      <c r="L2" s="29"/>
      <c r="M2" s="29"/>
      <c r="N2" s="29"/>
      <c r="O2" s="102"/>
      <c r="P2" s="4"/>
    </row>
    <row r="3" spans="1:16" s="2" customFormat="1" ht="5.0999999999999996" customHeight="1" thickBot="1">
      <c r="A3" s="584"/>
      <c r="B3" s="584"/>
      <c r="C3" s="584"/>
      <c r="D3" s="584"/>
      <c r="E3" s="584"/>
      <c r="F3" s="584"/>
      <c r="G3" s="584"/>
      <c r="H3" s="339"/>
      <c r="I3" s="28"/>
      <c r="J3" s="28"/>
      <c r="K3" s="28"/>
      <c r="L3" s="29"/>
      <c r="M3" s="29"/>
      <c r="N3" s="29"/>
      <c r="O3" s="102"/>
      <c r="P3" s="4"/>
    </row>
    <row r="4" spans="1:16" s="10" customFormat="1" ht="66.75" customHeight="1">
      <c r="A4" s="634" t="s">
        <v>496</v>
      </c>
      <c r="B4" s="637" t="s">
        <v>486</v>
      </c>
      <c r="C4" s="637" t="s">
        <v>497</v>
      </c>
      <c r="D4" s="637"/>
      <c r="E4" s="637"/>
      <c r="F4" s="637"/>
      <c r="G4" s="640" t="s">
        <v>67</v>
      </c>
      <c r="H4" s="340"/>
      <c r="I4" s="26">
        <f>Титул!C9</f>
        <v>47</v>
      </c>
      <c r="J4" s="26">
        <f>IF(OR(ISBLANK(APM!C10),APM!C10&lt;39788),10000000000,SUM(COYT!F9:K13)+SUM(APM!C18:C22))</f>
        <v>76</v>
      </c>
      <c r="K4" s="26"/>
      <c r="L4" s="25"/>
      <c r="M4" s="30"/>
      <c r="N4" s="30"/>
      <c r="O4" s="103"/>
      <c r="P4" s="100"/>
    </row>
    <row r="5" spans="1:16" s="10" customFormat="1" ht="48" customHeight="1">
      <c r="A5" s="635"/>
      <c r="B5" s="638"/>
      <c r="C5" s="643" t="s">
        <v>113</v>
      </c>
      <c r="D5" s="643"/>
      <c r="E5" s="643" t="s">
        <v>25</v>
      </c>
      <c r="F5" s="643"/>
      <c r="G5" s="641"/>
      <c r="H5" s="340"/>
      <c r="I5" s="26">
        <f>Титул!C11</f>
        <v>61</v>
      </c>
      <c r="J5" s="26">
        <f>IF(OR(ISBLANK(APM!C10),APM!C10&lt;39788),10000000000,SUM(COYT!L9:Q13)+SUM(APM!D18:D22))</f>
        <v>98</v>
      </c>
      <c r="K5" s="26"/>
      <c r="L5" s="25"/>
      <c r="M5" s="30"/>
      <c r="N5" s="30"/>
      <c r="O5" s="103"/>
      <c r="P5" s="100"/>
    </row>
    <row r="6" spans="1:16" s="10" customFormat="1" ht="18" customHeight="1" thickBot="1">
      <c r="A6" s="636"/>
      <c r="B6" s="639"/>
      <c r="C6" s="271" t="s">
        <v>112</v>
      </c>
      <c r="D6" s="272" t="s">
        <v>212</v>
      </c>
      <c r="E6" s="271" t="s">
        <v>112</v>
      </c>
      <c r="F6" s="272" t="s">
        <v>212</v>
      </c>
      <c r="G6" s="642"/>
      <c r="H6" s="340"/>
      <c r="I6" s="26">
        <f>Титул!C12</f>
        <v>55</v>
      </c>
      <c r="J6" s="26">
        <f>IF(OR(ISBLANK(APM!C10),APM!C10&lt;39788),10000000000,SUM(COYT!R9:W13)+SUM(APM!E18:E22))</f>
        <v>96</v>
      </c>
      <c r="K6" s="26"/>
      <c r="L6" s="25"/>
      <c r="M6" s="30"/>
      <c r="N6" s="30"/>
      <c r="O6" s="103"/>
      <c r="P6" s="100"/>
    </row>
    <row r="7" spans="1:16" ht="30.95" customHeight="1" thickTop="1">
      <c r="A7" s="267" t="s">
        <v>76</v>
      </c>
      <c r="B7" s="358">
        <v>0</v>
      </c>
      <c r="C7" s="346"/>
      <c r="D7" s="347"/>
      <c r="E7" s="335"/>
      <c r="F7" s="362"/>
      <c r="G7" s="330"/>
      <c r="H7" s="341"/>
      <c r="I7" s="12" t="b">
        <f>AND(B7&lt;=I4,I4&gt;=B7+B8,N7=FALSE)</f>
        <v>1</v>
      </c>
      <c r="J7" s="12" t="b">
        <f>AND(C7&lt;=I5,I5&gt;=C7+C8)</f>
        <v>1</v>
      </c>
      <c r="K7" s="12" t="b">
        <f>AND(D7&lt;=I6,D7&lt;=C7,I6&gt;=D7+D8)</f>
        <v>1</v>
      </c>
      <c r="L7" s="28"/>
      <c r="M7" s="28"/>
      <c r="N7" s="12" t="b">
        <f>AND(ISBLANK(B7),SUM(C7:D7)&gt;B7)</f>
        <v>0</v>
      </c>
      <c r="O7" s="104"/>
      <c r="P7" s="99"/>
    </row>
    <row r="8" spans="1:16" ht="30.95" customHeight="1">
      <c r="A8" s="268" t="s">
        <v>75</v>
      </c>
      <c r="B8" s="359"/>
      <c r="C8" s="348"/>
      <c r="D8" s="349"/>
      <c r="E8" s="336"/>
      <c r="F8" s="363"/>
      <c r="G8" s="331"/>
      <c r="H8" s="341"/>
      <c r="I8" s="12" t="b">
        <f>AND(B8&lt;=I4,I4&gt;=B7+B8,N8=FALSE)</f>
        <v>1</v>
      </c>
      <c r="J8" s="12" t="b">
        <f>AND(C8&lt;=I5,I5&gt;=C7+C8)</f>
        <v>1</v>
      </c>
      <c r="K8" s="12" t="b">
        <f>AND(D8&lt;=I6,D8&lt;=C8,I6&gt;=D7+D8)</f>
        <v>1</v>
      </c>
      <c r="L8" s="28"/>
      <c r="M8" s="28"/>
      <c r="N8" s="12" t="b">
        <f>AND(ISBLANK(B8),SUM(C8:D8)&gt;B8)</f>
        <v>0</v>
      </c>
      <c r="O8" s="104"/>
      <c r="P8" s="99"/>
    </row>
    <row r="9" spans="1:16" ht="30.95" customHeight="1">
      <c r="A9" s="269" t="s">
        <v>77</v>
      </c>
      <c r="B9" s="360"/>
      <c r="C9" s="333"/>
      <c r="D9" s="334"/>
      <c r="E9" s="350"/>
      <c r="F9" s="351"/>
      <c r="G9" s="332"/>
      <c r="H9" s="341"/>
      <c r="I9" s="12" t="b">
        <f>AND(B9&lt;=I4,N9=FALSE)</f>
        <v>1</v>
      </c>
      <c r="J9" s="12" t="b">
        <f>C9&lt;=I5</f>
        <v>1</v>
      </c>
      <c r="K9" s="12" t="b">
        <f>AND(D9&lt;=I6,D9&lt;=C9)</f>
        <v>1</v>
      </c>
      <c r="L9" s="28" t="b">
        <f>E9&lt;=I5</f>
        <v>1</v>
      </c>
      <c r="M9" s="28" t="b">
        <f>AND(F9&lt;=I6,F9&lt;=E9)</f>
        <v>1</v>
      </c>
      <c r="N9" s="12" t="b">
        <f t="shared" ref="N9:N15" si="0">AND(ISBLANK(B9),SUM(C9:F9)&gt;B9)</f>
        <v>0</v>
      </c>
      <c r="O9" s="104"/>
      <c r="P9" s="99"/>
    </row>
    <row r="10" spans="1:16" ht="30.95" customHeight="1">
      <c r="A10" s="268" t="s">
        <v>45</v>
      </c>
      <c r="B10" s="359">
        <v>1</v>
      </c>
      <c r="C10" s="348">
        <v>1</v>
      </c>
      <c r="D10" s="349">
        <v>1</v>
      </c>
      <c r="E10" s="348"/>
      <c r="F10" s="349"/>
      <c r="G10" s="331"/>
      <c r="H10" s="341"/>
      <c r="I10" s="12" t="b">
        <f>AND(B10&lt;=I4,B10&lt;=J4,N10=FALSE)</f>
        <v>1</v>
      </c>
      <c r="J10" s="12" t="b">
        <f>AND(C10&lt;=I5,C10&lt;=J5)</f>
        <v>1</v>
      </c>
      <c r="K10" s="12" t="b">
        <f>AND(D10&lt;=I6,D10&lt;=C10,D10&lt;=J6)</f>
        <v>1</v>
      </c>
      <c r="L10" s="28" t="b">
        <f>E10&lt;=I5</f>
        <v>1</v>
      </c>
      <c r="M10" s="28" t="b">
        <f>AND(F10&lt;=I6,F10&lt;=E10)</f>
        <v>1</v>
      </c>
      <c r="N10" s="12" t="b">
        <f t="shared" si="0"/>
        <v>0</v>
      </c>
      <c r="O10" s="104"/>
      <c r="P10" s="99"/>
    </row>
    <row r="11" spans="1:16" ht="30.95" customHeight="1">
      <c r="A11" s="269" t="s">
        <v>46</v>
      </c>
      <c r="B11" s="360">
        <v>6</v>
      </c>
      <c r="C11" s="350">
        <v>6</v>
      </c>
      <c r="D11" s="351">
        <v>6</v>
      </c>
      <c r="E11" s="350"/>
      <c r="F11" s="351"/>
      <c r="G11" s="354"/>
      <c r="H11" s="341"/>
      <c r="I11" s="12" t="b">
        <f>AND(B11&lt;=I4,B11&lt;=J4,N11=FALSE)</f>
        <v>1</v>
      </c>
      <c r="J11" s="12" t="b">
        <f>AND(C11&lt;=I5,C11&lt;=J5)</f>
        <v>1</v>
      </c>
      <c r="K11" s="12" t="b">
        <f>AND(D11&lt;=I6,D11&lt;=C11,D11&lt;=J6)</f>
        <v>1</v>
      </c>
      <c r="L11" s="28" t="b">
        <f>E11&lt;=I5</f>
        <v>1</v>
      </c>
      <c r="M11" s="28" t="b">
        <f>AND(F11&lt;=I6,F11&lt;=E11)</f>
        <v>1</v>
      </c>
      <c r="N11" s="12" t="b">
        <f t="shared" si="0"/>
        <v>0</v>
      </c>
      <c r="O11" s="104"/>
      <c r="P11" s="99"/>
    </row>
    <row r="12" spans="1:16" ht="30.95" customHeight="1">
      <c r="A12" s="268" t="s">
        <v>47</v>
      </c>
      <c r="B12" s="359">
        <v>46</v>
      </c>
      <c r="C12" s="348">
        <v>60</v>
      </c>
      <c r="D12" s="349">
        <v>55</v>
      </c>
      <c r="E12" s="348"/>
      <c r="F12" s="349"/>
      <c r="G12" s="355"/>
      <c r="H12" s="341"/>
      <c r="I12" s="12" t="b">
        <f>AND(B12&lt;=I4,B12&lt;=J4,N12=FALSE)</f>
        <v>1</v>
      </c>
      <c r="J12" s="12" t="b">
        <f>AND(C12&lt;=I5,C12&lt;=J5)</f>
        <v>1</v>
      </c>
      <c r="K12" s="12" t="b">
        <f>AND(D12&lt;=I6,D12&lt;=C12,D12&lt;=J6)</f>
        <v>1</v>
      </c>
      <c r="L12" s="28" t="b">
        <f>E12&lt;=I5</f>
        <v>1</v>
      </c>
      <c r="M12" s="28" t="b">
        <f>AND(F12&lt;=I6,F12&lt;=E12)</f>
        <v>1</v>
      </c>
      <c r="N12" s="12" t="b">
        <f t="shared" si="0"/>
        <v>0</v>
      </c>
      <c r="O12" s="104"/>
      <c r="P12" s="99"/>
    </row>
    <row r="13" spans="1:16" ht="30.95" customHeight="1">
      <c r="A13" s="269" t="s">
        <v>48</v>
      </c>
      <c r="B13" s="360"/>
      <c r="C13" s="350"/>
      <c r="D13" s="351"/>
      <c r="E13" s="350"/>
      <c r="F13" s="351"/>
      <c r="G13" s="354"/>
      <c r="H13" s="341"/>
      <c r="I13" s="12" t="b">
        <f>AND(B13&lt;=I4,(B13+B14)&lt;=I4,N13=FALSE)</f>
        <v>1</v>
      </c>
      <c r="J13" s="12" t="b">
        <f>AND(C13&lt;=I5,(C13+C14)&lt;=I5)</f>
        <v>1</v>
      </c>
      <c r="K13" s="12" t="b">
        <f>AND(D13&lt;=I6,D13&lt;=C13,(D13+D14)&lt;=I6)</f>
        <v>1</v>
      </c>
      <c r="L13" s="28" t="b">
        <f>AND(E13&lt;=I5,(E13+E14)&lt;=I5)</f>
        <v>1</v>
      </c>
      <c r="M13" s="28" t="b">
        <f>AND(F13&lt;=I6,F13&lt;=E13,(F13+F14)&lt;=I6)</f>
        <v>1</v>
      </c>
      <c r="N13" s="12" t="b">
        <f t="shared" si="0"/>
        <v>0</v>
      </c>
      <c r="O13" s="104"/>
      <c r="P13" s="99"/>
    </row>
    <row r="14" spans="1:16" ht="30.95" customHeight="1">
      <c r="A14" s="268" t="s">
        <v>49</v>
      </c>
      <c r="B14" s="359"/>
      <c r="C14" s="348"/>
      <c r="D14" s="349"/>
      <c r="E14" s="348"/>
      <c r="F14" s="349"/>
      <c r="G14" s="356"/>
      <c r="H14" s="341"/>
      <c r="I14" s="12" t="b">
        <f>AND(B14&lt;=I4,(B13+B14)&lt;=I4,N14=FALSE)</f>
        <v>1</v>
      </c>
      <c r="J14" s="12" t="b">
        <f>AND(C14&lt;=I5,(C13+C14)&lt;=I5)</f>
        <v>1</v>
      </c>
      <c r="K14" s="12" t="b">
        <f>AND(D14&lt;=I6,D14&lt;=C14,(D13+D14)&lt;=I6)</f>
        <v>1</v>
      </c>
      <c r="L14" s="28" t="b">
        <f>AND(E14&lt;=I5,(E13+E14)&lt;=I5)</f>
        <v>1</v>
      </c>
      <c r="M14" s="28" t="b">
        <f>AND(F14&lt;=I6,F14&lt;=E14,(F13+F14)&lt;=I6)</f>
        <v>1</v>
      </c>
      <c r="N14" s="12" t="b">
        <f t="shared" si="0"/>
        <v>0</v>
      </c>
      <c r="O14" s="104"/>
      <c r="P14" s="99"/>
    </row>
    <row r="15" spans="1:16" ht="30.95" customHeight="1" thickBot="1">
      <c r="A15" s="270" t="s">
        <v>50</v>
      </c>
      <c r="B15" s="361"/>
      <c r="C15" s="352"/>
      <c r="D15" s="353"/>
      <c r="E15" s="352"/>
      <c r="F15" s="353"/>
      <c r="G15" s="357"/>
      <c r="H15" s="341"/>
      <c r="I15" s="12" t="b">
        <f>AND(B15&lt;=I4,N15=FALSE)</f>
        <v>1</v>
      </c>
      <c r="J15" s="12" t="b">
        <f>C15&lt;=I5</f>
        <v>1</v>
      </c>
      <c r="K15" s="12" t="b">
        <f>AND(D15&lt;=I6,D15&lt;=C15)</f>
        <v>1</v>
      </c>
      <c r="L15" s="28" t="b">
        <f>E15&lt;=I5</f>
        <v>1</v>
      </c>
      <c r="M15" s="28" t="b">
        <f>AND(F15&lt;=I6,F15&lt;=E15)</f>
        <v>1</v>
      </c>
      <c r="N15" s="12" t="b">
        <f t="shared" si="0"/>
        <v>0</v>
      </c>
      <c r="O15" s="104"/>
      <c r="P15" s="99"/>
    </row>
    <row r="16" spans="1:16" ht="5.0999999999999996" customHeight="1">
      <c r="A16" s="99"/>
      <c r="B16" s="99"/>
      <c r="C16" s="99"/>
      <c r="D16" s="99"/>
      <c r="E16" s="99"/>
      <c r="F16" s="99"/>
      <c r="G16" s="99"/>
      <c r="O16" s="104"/>
      <c r="P16" s="99"/>
    </row>
    <row r="17" spans="1:16" ht="45" customHeight="1">
      <c r="A17" s="615" t="s">
        <v>128</v>
      </c>
      <c r="B17" s="615"/>
      <c r="C17" s="615"/>
      <c r="D17" s="615"/>
      <c r="E17" s="615"/>
      <c r="F17" s="615"/>
      <c r="G17" s="615"/>
      <c r="H17" s="343"/>
      <c r="I17" s="50"/>
      <c r="J17" s="50"/>
      <c r="K17" s="50"/>
      <c r="L17" s="50"/>
      <c r="M17" s="50"/>
      <c r="N17" s="50"/>
      <c r="O17" s="105"/>
      <c r="P17" s="99"/>
    </row>
    <row r="18" spans="1:16" ht="30" customHeight="1">
      <c r="A18" s="632" t="str">
        <f>IF(I18&gt;0,CONCATENATE("УКАЗАТЕЛЬ ОТДЕЛЬНЫХ ОШИБОК ДАННЫХ (замечаний – ",I18," шт.)")," ")</f>
        <v xml:space="preserve"> </v>
      </c>
      <c r="B18" s="632"/>
      <c r="C18" s="632"/>
      <c r="D18" s="632"/>
      <c r="E18" s="632"/>
      <c r="F18" s="632"/>
      <c r="G18" s="632"/>
      <c r="H18" s="344"/>
      <c r="I18" s="12">
        <f>16-COUNTIF(A19:G34," ")</f>
        <v>0</v>
      </c>
    </row>
    <row r="19" spans="1:16" ht="15" customHeight="1">
      <c r="A19" s="631" t="str">
        <f>IF(E2&gt;I5,CONCATENATE("Число работников, которым установлен хотя бы один вид гарантий или компенсаций (",E2," чел.), превышает численность всех работников в организации (",I5," чел.)")," ")</f>
        <v xml:space="preserve"> </v>
      </c>
      <c r="B19" s="631"/>
      <c r="C19" s="631"/>
      <c r="D19" s="631"/>
      <c r="E19" s="631"/>
      <c r="F19" s="631"/>
      <c r="G19" s="631"/>
      <c r="H19" s="345"/>
    </row>
    <row r="20" spans="1:16" ht="15" customHeight="1">
      <c r="A20" s="631" t="str">
        <f>IF(E2&gt;(SUM(C7:C15)+SUM(E9:E15)),CONCATENATE("Число работников, которым установлен хотя бы один вид гарантий или компенсаций (",E2," чел.), превышает численность всех работников, получающих компенсации (",SUM(C7:C15)+SUM(E9:E15)," чел.)")," ")</f>
        <v xml:space="preserve"> </v>
      </c>
      <c r="B20" s="631"/>
      <c r="C20" s="631"/>
      <c r="D20" s="631"/>
      <c r="E20" s="631"/>
      <c r="F20" s="631"/>
      <c r="G20" s="631"/>
      <c r="H20" s="345"/>
    </row>
    <row r="21" spans="1:16" ht="31.5" customHeight="1">
      <c r="A21" s="631" t="str">
        <f>IF(E2&lt;(MAX(C7:C15,E7:E15)),CONCATENATE("Число работников, которым установлен хотя бы один вид гарантий или компенсаций (",E2," чел.), не может быть меньше наибольшего числа работников, которым установлен один из видов гарантий или компенсаций (",MAX(C7:C15,E7:E15)," чел.). Следует принять наибольшее значение или перепроверить сведения")," ")</f>
        <v xml:space="preserve"> </v>
      </c>
      <c r="B21" s="631"/>
      <c r="C21" s="631"/>
      <c r="D21" s="631"/>
      <c r="E21" s="631"/>
      <c r="F21" s="631"/>
      <c r="G21" s="631"/>
      <c r="H21" s="345"/>
    </row>
    <row r="22" spans="1:16" ht="31.5" customHeight="1">
      <c r="A22" s="631" t="str">
        <f>IF(OR(B7&gt;I4,B8&gt;I4,B9&gt;I4,B10&gt;I4,B11&gt;I4,B12&gt;I4,B13&gt;I4,B14&gt;I4,B15&gt;I4),CONCATENATE("Количество рабочих мест, занятость на которых дает работнику право на данный вид гарантии или коменсации (",MAX(B7:B15)," р.м.), больше количества всех рабочих мест в организации (",I4," р.м.)")," ")</f>
        <v xml:space="preserve"> </v>
      </c>
      <c r="B22" s="631"/>
      <c r="C22" s="631"/>
      <c r="D22" s="631"/>
      <c r="E22" s="631"/>
      <c r="F22" s="631"/>
      <c r="G22" s="631"/>
      <c r="H22" s="345"/>
    </row>
    <row r="23" spans="1:16" ht="31.5" customHeight="1">
      <c r="A23" s="631" t="str">
        <f>IF(I4&lt;B7+B8,CONCATENATE("Количество всех рабочих мест, занятость на которых дает работникам право на досрочное назначение пенсии по старости (",B7+B8," р.м.), больше количества рабочих мест в организации (",I5," р.м.)")," ")</f>
        <v xml:space="preserve"> </v>
      </c>
      <c r="B23" s="631"/>
      <c r="C23" s="631"/>
      <c r="D23" s="631"/>
      <c r="E23" s="631"/>
      <c r="F23" s="631"/>
      <c r="G23" s="631"/>
      <c r="H23" s="345"/>
    </row>
    <row r="24" spans="1:16" ht="15" customHeight="1">
      <c r="A24" s="631" t="str">
        <f>IF(OR(B10&gt;J4,B11&gt;J4,B12&gt;J4),CONCATENATE("Количество рабочих мест по данному виду компенсаций (",MAX(B10:B12)," р.м.) больше количества рабочих мест с вредными и (или) опасными условиями труда (",J4," р.м.)")," ")</f>
        <v xml:space="preserve"> </v>
      </c>
      <c r="B24" s="631"/>
      <c r="C24" s="631"/>
      <c r="D24" s="631"/>
      <c r="E24" s="631"/>
      <c r="F24" s="631"/>
      <c r="G24" s="631"/>
      <c r="H24" s="345"/>
    </row>
    <row r="25" spans="1:16" ht="31.5" customHeight="1">
      <c r="A25" s="631" t="str">
        <f>IF((B13+B14)&gt;I4,CONCATENATE("Количество рабочих мест, занятость на которых дает работникам право на бесплатное получение молока или других равноценных пищевых продуктов либо компенсацию их стоимости (",B13+B14," р.м.), больше количества всех рабочих мест в организации (",I4," р.м.)")," ")</f>
        <v xml:space="preserve"> </v>
      </c>
      <c r="B25" s="631"/>
      <c r="C25" s="631"/>
      <c r="D25" s="631"/>
      <c r="E25" s="631"/>
      <c r="F25" s="631"/>
      <c r="G25" s="631"/>
      <c r="H25" s="345"/>
    </row>
    <row r="26" spans="1:16">
      <c r="A26" s="631" t="str">
        <f>IF(OR(C7&gt;I5,C8&gt;I5,C9&gt;I5,C10&gt;I5,C11&gt;I5,C12&gt;I5,C13&gt;I5,C14&gt;I5,C15&gt;I5,E9&gt;I5,E10&gt;I5,E11&gt;I5,E12&gt;I5,E13&gt;I5,E14&gt;I5,E15&gt;I5),CONCATENATE("Численность работников, имеющих право на данный вид гарантии или компенсации (",MAX(C7:C15,E9:E15)," чел.), больше численности всех работников в организации (",I5," чел.)")," ")</f>
        <v xml:space="preserve"> </v>
      </c>
      <c r="B26" s="631"/>
      <c r="C26" s="631"/>
      <c r="D26" s="631"/>
      <c r="E26" s="631"/>
      <c r="F26" s="631"/>
      <c r="G26" s="631"/>
      <c r="H26" s="345"/>
    </row>
    <row r="27" spans="1:16">
      <c r="A27" s="631" t="str">
        <f>IF(OR(D7&gt;I6,D8&gt;I6,D9&gt;I6,D10&gt;I6,D11&gt;I6,D12&gt;I6,D13&gt;I6,D14&gt;I6,D15&gt;I6,F9&gt;I6,F10&gt;I6,F11&gt;I6,F12&gt;I6,F13&gt;I6,F14&gt;I6,F15&gt;I6),CONCATENATE("Численность женщин, имеющих право на данный вид гарантии или компенсации (",MAX(D7:D15,F9:F15)," чел.), больше численности всех женщин в организации (",I6," чел.)")," ")</f>
        <v xml:space="preserve"> </v>
      </c>
      <c r="B27" s="631"/>
      <c r="C27" s="631"/>
      <c r="D27" s="631"/>
      <c r="E27" s="631"/>
      <c r="F27" s="631"/>
      <c r="G27" s="631"/>
      <c r="H27" s="345"/>
    </row>
    <row r="28" spans="1:16" ht="31.5" customHeight="1">
      <c r="A28" s="631" t="str">
        <f>IF((C7+C8)&gt;I5,CONCATENATE("Численность работников, имеющих право на досрочное назначение пенсии по старости за работу в условиях превышения гигиенических нормативов (",C7+C8," чел.), больше численности всех работников в организации (",I5," чел.)")," ")</f>
        <v xml:space="preserve"> </v>
      </c>
      <c r="B28" s="631"/>
      <c r="C28" s="631"/>
      <c r="D28" s="631"/>
      <c r="E28" s="631"/>
      <c r="F28" s="631"/>
      <c r="G28" s="631"/>
      <c r="H28" s="345"/>
    </row>
    <row r="29" spans="1:16" ht="31.5" customHeight="1">
      <c r="A29" s="631" t="str">
        <f>IF((D7+D8)&gt;I6,CONCATENATE("Численность женщин, имеющих право на досрочное назначение пенсии по старости за работу в условиях превышения гигиенических нормативов (",D7+D8," чел.), больше численности всех женщин в организации (",I6," чел.)")," ")</f>
        <v xml:space="preserve"> </v>
      </c>
      <c r="B29" s="631"/>
      <c r="C29" s="631"/>
      <c r="D29" s="631"/>
      <c r="E29" s="631"/>
      <c r="F29" s="631"/>
      <c r="G29" s="631"/>
      <c r="H29" s="345"/>
    </row>
    <row r="30" spans="1:16" ht="31.5" customHeight="1">
      <c r="A30" s="631" t="str">
        <f>IF(OR(D7&gt;C7,D8&gt;C8,D9&gt;C9,D10&gt;C10,D11&gt;C11,D12&gt;C12,D13&gt;C13,D14&gt;C14,D15&gt;C15),CONCATENATE("Численность женщин, имеющих право на данный вид гарантии или компенсации (",INDEX(C7:D15,MATCH(FALSE,K7:K15,0),2)," чел.), больше численности всех работников, имеющих право на такой же вид гарантии или компенсации (",INDEX(C7:D15,MATCH(FALSE,K7:K15,0),1)," чел.)")," ")</f>
        <v xml:space="preserve"> </v>
      </c>
      <c r="B30" s="631"/>
      <c r="C30" s="631"/>
      <c r="D30" s="631"/>
      <c r="E30" s="631"/>
      <c r="F30" s="631"/>
      <c r="G30" s="631"/>
      <c r="H30" s="345"/>
    </row>
    <row r="31" spans="1:16" ht="31.5" customHeight="1">
      <c r="A31" s="631" t="str">
        <f>IF(OR(F9&gt;E9,F10&gt;E10,F11&gt;E11,F12&gt;E12,F13&gt;E13,F14&gt;E14,F15&gt;E15),CONCATENATE("Численность женщин, имеющих право на данный вид гарантии или компенсации (",INDEX(E9:F15,MATCH(FALSE,M9:M15,0),2)," чел.), больше численности всех работников, имеющих право на такой же вид гарантии или компенсации (",INDEX(E9:F15,MATCH(FALSE,M9:M15,0),1)," чел.)")," ")</f>
        <v xml:space="preserve"> </v>
      </c>
      <c r="B31" s="631"/>
      <c r="C31" s="631"/>
      <c r="D31" s="631"/>
      <c r="E31" s="631"/>
      <c r="F31" s="631"/>
      <c r="G31" s="631"/>
      <c r="H31" s="345"/>
    </row>
    <row r="32" spans="1:16" ht="31.5" customHeight="1">
      <c r="A32" s="631" t="str">
        <f>IF(OR(N7=TRUE,N8=TRUE,N9=TRUE,N10=TRUE,N11=TRUE,N12=TRUE,N13=TRUE,N14=TRUE,N15=TRUE),CONCATENATE("Отсутствуют обязательные сведения ‒ количество рабочих мест, на которых работникам может устанавливаться ",LOWER(INDEX(A7:N15,MATCH(TRUE,N7:N15,0),1)),"!")," ")</f>
        <v xml:space="preserve"> </v>
      </c>
      <c r="B32" s="631"/>
      <c r="C32" s="631"/>
      <c r="D32" s="631"/>
      <c r="E32" s="631"/>
      <c r="F32" s="631"/>
      <c r="G32" s="631"/>
      <c r="H32" s="345"/>
    </row>
    <row r="33" spans="1:8" ht="31.5" customHeight="1">
      <c r="A33" s="631" t="str">
        <f>IF(OR(C10&gt;J5,C11&gt;J5,C12&gt;J5),CONCATENATE("Численность работников, которым установлен данный вид компенсаций (",MAX(C10:C12)," р.м.) больше численности работников, занятых на всех рабочих местах с вредными и (или) опасными условиями труда (",J5," р.м.)")," ")</f>
        <v xml:space="preserve"> </v>
      </c>
      <c r="B33" s="631"/>
      <c r="C33" s="631"/>
      <c r="D33" s="631"/>
      <c r="E33" s="631"/>
      <c r="F33" s="631"/>
      <c r="G33" s="631"/>
      <c r="H33" s="345"/>
    </row>
    <row r="34" spans="1:8" ht="30.75" customHeight="1">
      <c r="A34" s="631" t="str">
        <f>IF(OR(D10&gt;J6,D11&gt;J6,D12&gt;J6),CONCATENATE("Численность женщин, которым установлен данный вид компенсаций (",MAX(D10:D12)," р.м.) больше численности женщин, занятых на всех рабочих местах с вредными и (или) опасными условиями труда (",J6," р.м.)")," ")</f>
        <v xml:space="preserve"> </v>
      </c>
      <c r="B34" s="631"/>
      <c r="C34" s="631"/>
      <c r="D34" s="631"/>
      <c r="E34" s="631"/>
      <c r="F34" s="631"/>
      <c r="G34" s="631"/>
      <c r="H34" s="345"/>
    </row>
    <row r="35" spans="1:8" ht="15.75">
      <c r="A35" s="618" t="s">
        <v>402</v>
      </c>
      <c r="B35" s="618"/>
      <c r="C35" s="618"/>
      <c r="D35" s="618"/>
      <c r="E35" s="618"/>
      <c r="F35" s="618"/>
      <c r="G35" s="618"/>
    </row>
  </sheetData>
  <sheetProtection password="CE28" sheet="1" objects="1" scenarios="1" selectLockedCells="1"/>
  <mergeCells count="28">
    <mergeCell ref="A35:G35"/>
    <mergeCell ref="A17:G17"/>
    <mergeCell ref="A1:G1"/>
    <mergeCell ref="A2:D2"/>
    <mergeCell ref="A4:A6"/>
    <mergeCell ref="B4:B6"/>
    <mergeCell ref="C4:F4"/>
    <mergeCell ref="G4:G6"/>
    <mergeCell ref="C5:D5"/>
    <mergeCell ref="E5:F5"/>
    <mergeCell ref="A3:G3"/>
    <mergeCell ref="A33:G33"/>
    <mergeCell ref="A34:G34"/>
    <mergeCell ref="A22:G22"/>
    <mergeCell ref="A23:G23"/>
    <mergeCell ref="A24:G24"/>
    <mergeCell ref="A31:G31"/>
    <mergeCell ref="A32:G32"/>
    <mergeCell ref="A25:G25"/>
    <mergeCell ref="A26:G26"/>
    <mergeCell ref="A29:G29"/>
    <mergeCell ref="A30:G30"/>
    <mergeCell ref="A18:G18"/>
    <mergeCell ref="A21:G21"/>
    <mergeCell ref="A19:G19"/>
    <mergeCell ref="A20:G20"/>
    <mergeCell ref="A27:G27"/>
    <mergeCell ref="A28:G28"/>
  </mergeCells>
  <phoneticPr fontId="41" type="noConversion"/>
  <conditionalFormatting sqref="A18:G18">
    <cfRule type="expression" dxfId="22" priority="24" stopIfTrue="1">
      <formula>$I$18&gt;0</formula>
    </cfRule>
  </conditionalFormatting>
  <conditionalFormatting sqref="A23 A25:A34 A24:G24">
    <cfRule type="expression" dxfId="21" priority="76" stopIfTrue="1">
      <formula>A23=" "</formula>
    </cfRule>
  </conditionalFormatting>
  <conditionalFormatting sqref="A22:G22">
    <cfRule type="expression" dxfId="20" priority="21" stopIfTrue="1">
      <formula>$A$22=" "</formula>
    </cfRule>
  </conditionalFormatting>
  <conditionalFormatting sqref="B7:B15">
    <cfRule type="expression" dxfId="19" priority="80" stopIfTrue="1">
      <formula>I7=FALSE</formula>
    </cfRule>
  </conditionalFormatting>
  <conditionalFormatting sqref="C7:C8 C10:C15">
    <cfRule type="expression" dxfId="18" priority="81" stopIfTrue="1">
      <formula>J7=FALSE</formula>
    </cfRule>
    <cfRule type="expression" dxfId="17" priority="82" stopIfTrue="1">
      <formula>N7=TRUE</formula>
    </cfRule>
  </conditionalFormatting>
  <conditionalFormatting sqref="D7:D8 D10:D15">
    <cfRule type="expression" dxfId="16" priority="83" stopIfTrue="1">
      <formula>K7=FALSE</formula>
    </cfRule>
    <cfRule type="expression" dxfId="15" priority="84" stopIfTrue="1">
      <formula>N7=TRUE</formula>
    </cfRule>
  </conditionalFormatting>
  <conditionalFormatting sqref="E9:E15">
    <cfRule type="expression" dxfId="14" priority="85" stopIfTrue="1">
      <formula>L9=FALSE</formula>
    </cfRule>
    <cfRule type="expression" dxfId="13" priority="86" stopIfTrue="1">
      <formula>N9=TRUE</formula>
    </cfRule>
  </conditionalFormatting>
  <conditionalFormatting sqref="F9:F15">
    <cfRule type="expression" dxfId="12" priority="87" stopIfTrue="1">
      <formula>M9=FALSE</formula>
    </cfRule>
    <cfRule type="expression" dxfId="11" priority="88" stopIfTrue="1">
      <formula>N9=TRUE</formula>
    </cfRule>
  </conditionalFormatting>
  <conditionalFormatting sqref="A35:G35">
    <cfRule type="expression" dxfId="10" priority="89" stopIfTrue="1">
      <formula>$I$18&gt;0</formula>
    </cfRule>
  </conditionalFormatting>
  <conditionalFormatting sqref="E2">
    <cfRule type="expression" dxfId="9" priority="90" stopIfTrue="1">
      <formula>I2=FALSE</formula>
    </cfRule>
  </conditionalFormatting>
  <dataValidations count="4">
    <dataValidation type="whole" operator="greaterThanOrEqual" allowBlank="1" showErrorMessage="1" errorTitle="ОШИБКА" error="Введено недопустимое значение" sqref="E2">
      <formula1>0</formula1>
    </dataValidation>
    <dataValidation type="decimal" operator="greaterThanOrEqual" allowBlank="1" showInputMessage="1" showErrorMessage="1" errorTitle="ВНИМАНИЕ!" error="Недопустимый формат введенного значения!_x000a_Введите число, разделяя его целую часть от дробной запятой (*,**)" promptTitle="ПОДСКАЗКА" prompt="Введите число в формате вида **,** (через запятую)._x000a_При несоблюдении данного условия введенное значение изменится на отличное от него значение!" sqref="G11:H15">
      <formula1>0</formula1>
    </dataValidation>
    <dataValidation type="whole" operator="equal" allowBlank="1" showInputMessage="1" showErrorMessage="1" errorTitle="ВНИМАНИЕ!" error="Введенное значение должно быть целым числом._x000a__x000a_Проверьте исходные данные и введите значение, соответствующее требуемому условию." sqref="E7:F8">
      <formula1>E7</formula1>
    </dataValidation>
    <dataValidation type="whole" operator="greaterThanOrEqual" allowBlank="1" showErrorMessage="1" errorTitle="ВНИМАНИЕ!" error="Введено недопустимое значение" sqref="E9:F15 B7:D15">
      <formula1>0</formula1>
    </dataValidation>
  </dataValidations>
  <printOptions horizontalCentered="1"/>
  <pageMargins left="0.39370078740157483" right="0.39370078740157483" top="0.78740157480314965" bottom="0.39370078740157483" header="0.31496062992125984" footer="0.31496062992125984"/>
  <pageSetup paperSize="9" orientation="landscape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theme="9" tint="-0.249977111117893"/>
    <pageSetUpPr fitToPage="1"/>
  </sheetPr>
  <dimension ref="A1:F42"/>
  <sheetViews>
    <sheetView showGridLines="0" showRowColHeaders="0" zoomScale="125" zoomScaleNormal="130" workbookViewId="0">
      <pane ySplit="3" topLeftCell="A4" activePane="bottomLeft" state="frozen"/>
      <selection pane="bottomLeft" activeCell="C4" sqref="C4"/>
    </sheetView>
  </sheetViews>
  <sheetFormatPr defaultRowHeight="15"/>
  <cols>
    <col min="1" max="1" width="73.42578125" style="1" customWidth="1"/>
    <col min="2" max="2" width="14.28515625" style="51" hidden="1" customWidth="1"/>
    <col min="3" max="6" width="14.28515625" style="1" customWidth="1"/>
    <col min="7" max="16384" width="9.140625" style="1"/>
  </cols>
  <sheetData>
    <row r="1" spans="1:6" ht="81" customHeight="1">
      <c r="A1" s="644" t="s">
        <v>233</v>
      </c>
      <c r="B1" s="644"/>
      <c r="C1" s="644"/>
      <c r="D1" s="644"/>
      <c r="E1" s="644"/>
      <c r="F1" s="644"/>
    </row>
    <row r="2" spans="1:6" ht="26.25" customHeight="1">
      <c r="A2" s="52"/>
      <c r="B2" s="53"/>
      <c r="C2" s="53"/>
      <c r="D2" s="53"/>
      <c r="E2" s="53"/>
      <c r="F2" s="53" t="s">
        <v>236</v>
      </c>
    </row>
    <row r="3" spans="1:6" ht="37.5" customHeight="1" thickBot="1">
      <c r="A3" s="91" t="s">
        <v>235</v>
      </c>
      <c r="B3" s="92" t="s">
        <v>237</v>
      </c>
      <c r="C3" s="408" t="s">
        <v>574</v>
      </c>
      <c r="D3" s="409" t="s">
        <v>571</v>
      </c>
      <c r="E3" s="409" t="s">
        <v>573</v>
      </c>
      <c r="F3" s="410" t="s">
        <v>572</v>
      </c>
    </row>
    <row r="4" spans="1:6" ht="33.75" customHeight="1" thickTop="1">
      <c r="A4" s="85" t="s">
        <v>420</v>
      </c>
      <c r="B4" s="86">
        <f t="shared" ref="B4:B42" si="0">C4+D4+E4+F4</f>
        <v>0</v>
      </c>
      <c r="C4" s="86"/>
      <c r="D4" s="86"/>
      <c r="E4" s="406"/>
      <c r="F4" s="406"/>
    </row>
    <row r="5" spans="1:6" ht="48.75" customHeight="1">
      <c r="A5" s="83" t="s">
        <v>421</v>
      </c>
      <c r="B5" s="84">
        <f t="shared" si="0"/>
        <v>0</v>
      </c>
      <c r="C5" s="84"/>
      <c r="D5" s="84"/>
      <c r="E5" s="405"/>
      <c r="F5" s="405"/>
    </row>
    <row r="6" spans="1:6" ht="48.75" customHeight="1">
      <c r="A6" s="87" t="s">
        <v>422</v>
      </c>
      <c r="B6" s="88">
        <f t="shared" si="0"/>
        <v>0</v>
      </c>
      <c r="C6" s="88"/>
      <c r="D6" s="88"/>
      <c r="E6" s="404"/>
      <c r="F6" s="404"/>
    </row>
    <row r="7" spans="1:6" ht="90">
      <c r="A7" s="83" t="s">
        <v>423</v>
      </c>
      <c r="B7" s="84">
        <f t="shared" si="0"/>
        <v>0</v>
      </c>
      <c r="C7" s="84"/>
      <c r="D7" s="84"/>
      <c r="E7" s="405"/>
      <c r="F7" s="405"/>
    </row>
    <row r="8" spans="1:6" ht="48" customHeight="1">
      <c r="A8" s="87" t="s">
        <v>424</v>
      </c>
      <c r="B8" s="88">
        <f t="shared" si="0"/>
        <v>0</v>
      </c>
      <c r="C8" s="88"/>
      <c r="D8" s="88"/>
      <c r="E8" s="404"/>
      <c r="F8" s="404"/>
    </row>
    <row r="9" spans="1:6" ht="48.75" customHeight="1">
      <c r="A9" s="83" t="s">
        <v>425</v>
      </c>
      <c r="B9" s="84">
        <f t="shared" si="0"/>
        <v>0</v>
      </c>
      <c r="C9" s="84"/>
      <c r="D9" s="84"/>
      <c r="E9" s="405"/>
      <c r="F9" s="405"/>
    </row>
    <row r="10" spans="1:6" ht="48.75" customHeight="1">
      <c r="A10" s="87" t="s">
        <v>426</v>
      </c>
      <c r="B10" s="88">
        <f t="shared" si="0"/>
        <v>0</v>
      </c>
      <c r="C10" s="88"/>
      <c r="D10" s="88"/>
      <c r="E10" s="404"/>
      <c r="F10" s="404"/>
    </row>
    <row r="11" spans="1:6" ht="33.75" customHeight="1">
      <c r="A11" s="83" t="s">
        <v>427</v>
      </c>
      <c r="B11" s="84">
        <f t="shared" si="0"/>
        <v>0</v>
      </c>
      <c r="C11" s="84"/>
      <c r="D11" s="84"/>
      <c r="E11" s="405"/>
      <c r="F11" s="405"/>
    </row>
    <row r="12" spans="1:6" ht="33" customHeight="1">
      <c r="A12" s="87" t="s">
        <v>428</v>
      </c>
      <c r="B12" s="88">
        <f t="shared" si="0"/>
        <v>0</v>
      </c>
      <c r="C12" s="88"/>
      <c r="D12" s="88"/>
      <c r="E12" s="404"/>
      <c r="F12" s="404"/>
    </row>
    <row r="13" spans="1:6" ht="63.75" customHeight="1">
      <c r="A13" s="83" t="s">
        <v>429</v>
      </c>
      <c r="B13" s="84">
        <f t="shared" si="0"/>
        <v>0</v>
      </c>
      <c r="C13" s="84"/>
      <c r="D13" s="84"/>
      <c r="E13" s="405"/>
      <c r="F13" s="405"/>
    </row>
    <row r="14" spans="1:6" ht="90">
      <c r="A14" s="87" t="s">
        <v>430</v>
      </c>
      <c r="B14" s="88">
        <f t="shared" si="0"/>
        <v>0</v>
      </c>
      <c r="C14" s="88"/>
      <c r="D14" s="88"/>
      <c r="E14" s="404"/>
      <c r="F14" s="404"/>
    </row>
    <row r="15" spans="1:6" ht="33.75" customHeight="1">
      <c r="A15" s="83" t="s">
        <v>431</v>
      </c>
      <c r="B15" s="84">
        <f t="shared" si="0"/>
        <v>0</v>
      </c>
      <c r="C15" s="84"/>
      <c r="D15" s="84"/>
      <c r="E15" s="405"/>
      <c r="F15" s="405"/>
    </row>
    <row r="16" spans="1:6" ht="90">
      <c r="A16" s="87" t="s">
        <v>432</v>
      </c>
      <c r="B16" s="88">
        <f t="shared" si="0"/>
        <v>0</v>
      </c>
      <c r="C16" s="88"/>
      <c r="D16" s="88"/>
      <c r="E16" s="404"/>
      <c r="F16" s="404"/>
    </row>
    <row r="17" spans="1:6" ht="78.75" customHeight="1">
      <c r="A17" s="83" t="s">
        <v>433</v>
      </c>
      <c r="B17" s="84">
        <f t="shared" si="0"/>
        <v>0</v>
      </c>
      <c r="C17" s="84"/>
      <c r="D17" s="84"/>
      <c r="E17" s="405"/>
      <c r="F17" s="405"/>
    </row>
    <row r="18" spans="1:6" ht="93.75" customHeight="1">
      <c r="A18" s="87" t="s">
        <v>434</v>
      </c>
      <c r="B18" s="88">
        <f t="shared" si="0"/>
        <v>0</v>
      </c>
      <c r="C18" s="88"/>
      <c r="D18" s="88"/>
      <c r="E18" s="404"/>
      <c r="F18" s="404"/>
    </row>
    <row r="19" spans="1:6" ht="48.75" customHeight="1">
      <c r="A19" s="83" t="s">
        <v>435</v>
      </c>
      <c r="B19" s="84">
        <f t="shared" si="0"/>
        <v>0</v>
      </c>
      <c r="C19" s="84"/>
      <c r="D19" s="84"/>
      <c r="E19" s="405"/>
      <c r="F19" s="405"/>
    </row>
    <row r="20" spans="1:6" ht="90">
      <c r="A20" s="87" t="s">
        <v>436</v>
      </c>
      <c r="B20" s="88">
        <f t="shared" si="0"/>
        <v>0</v>
      </c>
      <c r="C20" s="88"/>
      <c r="D20" s="88"/>
      <c r="E20" s="404"/>
      <c r="F20" s="404"/>
    </row>
    <row r="21" spans="1:6" ht="33" customHeight="1">
      <c r="A21" s="83" t="s">
        <v>437</v>
      </c>
      <c r="B21" s="84">
        <f t="shared" si="0"/>
        <v>0</v>
      </c>
      <c r="C21" s="84"/>
      <c r="D21" s="84"/>
      <c r="E21" s="405"/>
      <c r="F21" s="405"/>
    </row>
    <row r="22" spans="1:6" ht="93" customHeight="1">
      <c r="A22" s="87" t="s">
        <v>438</v>
      </c>
      <c r="B22" s="88">
        <f t="shared" si="0"/>
        <v>0</v>
      </c>
      <c r="C22" s="88"/>
      <c r="D22" s="88"/>
      <c r="E22" s="404"/>
      <c r="F22" s="404"/>
    </row>
    <row r="23" spans="1:6" ht="64.5" customHeight="1">
      <c r="A23" s="83" t="s">
        <v>439</v>
      </c>
      <c r="B23" s="84">
        <f t="shared" si="0"/>
        <v>0</v>
      </c>
      <c r="C23" s="84"/>
      <c r="D23" s="84"/>
      <c r="E23" s="405"/>
      <c r="F23" s="405"/>
    </row>
    <row r="24" spans="1:6" ht="17.25" customHeight="1">
      <c r="A24" s="89" t="s">
        <v>24</v>
      </c>
      <c r="B24" s="90">
        <f t="shared" si="0"/>
        <v>0</v>
      </c>
      <c r="C24" s="90"/>
      <c r="D24" s="90"/>
      <c r="E24" s="404"/>
      <c r="F24" s="404"/>
    </row>
    <row r="25" spans="1:6" ht="93" customHeight="1">
      <c r="A25" s="83" t="s">
        <v>440</v>
      </c>
      <c r="B25" s="84">
        <f t="shared" si="0"/>
        <v>0</v>
      </c>
      <c r="C25" s="84"/>
      <c r="D25" s="84"/>
      <c r="E25" s="405"/>
      <c r="F25" s="405"/>
    </row>
    <row r="26" spans="1:6" ht="33" customHeight="1">
      <c r="A26" s="87" t="s">
        <v>441</v>
      </c>
      <c r="B26" s="88">
        <f t="shared" si="0"/>
        <v>0</v>
      </c>
      <c r="C26" s="88"/>
      <c r="D26" s="88"/>
      <c r="E26" s="404"/>
      <c r="F26" s="404"/>
    </row>
    <row r="27" spans="1:6" ht="33.75" customHeight="1">
      <c r="A27" s="83" t="s">
        <v>442</v>
      </c>
      <c r="B27" s="84">
        <f t="shared" si="0"/>
        <v>0</v>
      </c>
      <c r="C27" s="84"/>
      <c r="D27" s="84"/>
      <c r="E27" s="405"/>
      <c r="F27" s="405"/>
    </row>
    <row r="28" spans="1:6" ht="33.75" customHeight="1">
      <c r="A28" s="87" t="s">
        <v>443</v>
      </c>
      <c r="B28" s="88">
        <f t="shared" si="0"/>
        <v>0</v>
      </c>
      <c r="C28" s="88"/>
      <c r="D28" s="88"/>
      <c r="E28" s="404"/>
      <c r="F28" s="404"/>
    </row>
    <row r="29" spans="1:6" ht="33" customHeight="1">
      <c r="A29" s="83" t="s">
        <v>444</v>
      </c>
      <c r="B29" s="84">
        <f t="shared" si="0"/>
        <v>0</v>
      </c>
      <c r="C29" s="84"/>
      <c r="D29" s="84"/>
      <c r="E29" s="405"/>
      <c r="F29" s="405"/>
    </row>
    <row r="30" spans="1:6" ht="63.75" customHeight="1">
      <c r="A30" s="87" t="s">
        <v>445</v>
      </c>
      <c r="B30" s="88">
        <f t="shared" si="0"/>
        <v>0</v>
      </c>
      <c r="C30" s="88"/>
      <c r="D30" s="88"/>
      <c r="E30" s="404"/>
      <c r="F30" s="404"/>
    </row>
    <row r="31" spans="1:6" ht="33" customHeight="1">
      <c r="A31" s="83" t="s">
        <v>446</v>
      </c>
      <c r="B31" s="84">
        <f t="shared" si="0"/>
        <v>0</v>
      </c>
      <c r="C31" s="84"/>
      <c r="D31" s="84"/>
      <c r="E31" s="405"/>
      <c r="F31" s="405"/>
    </row>
    <row r="32" spans="1:6" ht="33" customHeight="1">
      <c r="A32" s="87" t="s">
        <v>447</v>
      </c>
      <c r="B32" s="88">
        <f t="shared" si="0"/>
        <v>0</v>
      </c>
      <c r="C32" s="88"/>
      <c r="D32" s="88"/>
      <c r="E32" s="404"/>
      <c r="F32" s="404"/>
    </row>
    <row r="33" spans="1:6" ht="18.75" customHeight="1">
      <c r="A33" s="83" t="s">
        <v>448</v>
      </c>
      <c r="B33" s="84">
        <f t="shared" si="0"/>
        <v>0</v>
      </c>
      <c r="C33" s="84"/>
      <c r="D33" s="84"/>
      <c r="E33" s="405"/>
      <c r="F33" s="405"/>
    </row>
    <row r="34" spans="1:6" ht="33" customHeight="1">
      <c r="A34" s="87" t="s">
        <v>449</v>
      </c>
      <c r="B34" s="88">
        <f t="shared" si="0"/>
        <v>0</v>
      </c>
      <c r="C34" s="88"/>
      <c r="D34" s="88"/>
      <c r="E34" s="404"/>
      <c r="F34" s="404"/>
    </row>
    <row r="35" spans="1:6" ht="48.75" customHeight="1">
      <c r="A35" s="395" t="s">
        <v>450</v>
      </c>
      <c r="B35" s="84">
        <f t="shared" si="0"/>
        <v>0</v>
      </c>
      <c r="C35" s="84"/>
      <c r="D35" s="84"/>
      <c r="E35" s="405"/>
      <c r="F35" s="405"/>
    </row>
    <row r="36" spans="1:6" ht="45">
      <c r="A36" s="394" t="s">
        <v>559</v>
      </c>
      <c r="B36" s="88">
        <f t="shared" si="0"/>
        <v>0</v>
      </c>
      <c r="C36" s="88"/>
      <c r="D36" s="88"/>
      <c r="E36" s="404"/>
      <c r="F36" s="404"/>
    </row>
    <row r="37" spans="1:6" ht="33.75">
      <c r="A37" s="395" t="s">
        <v>560</v>
      </c>
      <c r="B37" s="84">
        <f t="shared" si="0"/>
        <v>0</v>
      </c>
      <c r="C37" s="84"/>
      <c r="D37" s="84"/>
      <c r="E37" s="405"/>
      <c r="F37" s="405"/>
    </row>
    <row r="38" spans="1:6" ht="78.75">
      <c r="A38" s="394" t="s">
        <v>561</v>
      </c>
      <c r="B38" s="88">
        <f t="shared" si="0"/>
        <v>0</v>
      </c>
      <c r="C38" s="88"/>
      <c r="D38" s="88"/>
      <c r="E38" s="404"/>
      <c r="F38" s="404"/>
    </row>
    <row r="39" spans="1:6" ht="109.5">
      <c r="A39" s="395" t="s">
        <v>562</v>
      </c>
      <c r="B39" s="84">
        <f t="shared" si="0"/>
        <v>0</v>
      </c>
      <c r="C39" s="84"/>
      <c r="D39" s="84"/>
      <c r="E39" s="405"/>
      <c r="F39" s="405"/>
    </row>
    <row r="40" spans="1:6" ht="33.75">
      <c r="A40" s="394" t="s">
        <v>563</v>
      </c>
      <c r="B40" s="88">
        <f t="shared" si="0"/>
        <v>0</v>
      </c>
      <c r="C40" s="88"/>
      <c r="D40" s="88"/>
      <c r="E40" s="404"/>
      <c r="F40" s="404"/>
    </row>
    <row r="41" spans="1:6" ht="33.75">
      <c r="A41" s="395" t="s">
        <v>564</v>
      </c>
      <c r="B41" s="84">
        <f t="shared" si="0"/>
        <v>0</v>
      </c>
      <c r="C41" s="84"/>
      <c r="D41" s="84"/>
      <c r="E41" s="405"/>
      <c r="F41" s="405"/>
    </row>
    <row r="42" spans="1:6" ht="45.75">
      <c r="A42" s="397" t="s">
        <v>565</v>
      </c>
      <c r="B42" s="398">
        <f t="shared" si="0"/>
        <v>0</v>
      </c>
      <c r="C42" s="398"/>
      <c r="D42" s="398"/>
      <c r="E42" s="407"/>
      <c r="F42" s="407"/>
    </row>
  </sheetData>
  <sheetProtection password="CE28" sheet="1" objects="1" scenarios="1" selectLockedCells="1"/>
  <mergeCells count="1">
    <mergeCell ref="A1:F1"/>
  </mergeCells>
  <phoneticPr fontId="41" type="noConversion"/>
  <dataValidations count="2">
    <dataValidation type="decimal" operator="greaterThanOrEqual" allowBlank="1" showInputMessage="1" showErrorMessage="1" errorTitle="ВНИМАНИЕ!" error="Введено недопустимое значение" promptTitle="ПОДСКАЗКА" prompt="Введите значение в формате #,## (отделяя дробную часть запятой)" sqref="C25:F35 C4:F23">
      <formula1>0</formula1>
    </dataValidation>
    <dataValidation type="whole" operator="greaterThanOrEqual" allowBlank="1" showInputMessage="1" showErrorMessage="1" errorTitle="ВНИМАНИЕ!" error="Введено недопустимое значение" promptTitle="ПОДСКАЗКА" prompt="Введите численность работников" sqref="C24:F24">
      <formula1>0</formula1>
    </dataValidation>
  </dataValidations>
  <printOptions horizontalCentered="1"/>
  <pageMargins left="0.98425196850393704" right="0.39370078740157483" top="0.59055118110236227" bottom="0.59055118110236227" header="0.31496062992125984" footer="0.31496062992125984"/>
  <pageSetup paperSize="9" scale="67" fitToHeight="10" orientation="portrait" blackAndWhite="1" verticalDpi="0" r:id="rId1"/>
  <headerFooter differentFirst="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13</vt:i4>
      </vt:variant>
    </vt:vector>
  </HeadingPairs>
  <TitlesOfParts>
    <vt:vector size="22" baseType="lpstr">
      <vt:lpstr>Помощь</vt:lpstr>
      <vt:lpstr>Титул</vt:lpstr>
      <vt:lpstr>СлужбаОТ</vt:lpstr>
      <vt:lpstr>Обучение</vt:lpstr>
      <vt:lpstr>COYT</vt:lpstr>
      <vt:lpstr>APM</vt:lpstr>
      <vt:lpstr>BPED</vt:lpstr>
      <vt:lpstr>KOM</vt:lpstr>
      <vt:lpstr>Затраты</vt:lpstr>
      <vt:lpstr>List1</vt:lpstr>
      <vt:lpstr>List2</vt:lpstr>
      <vt:lpstr>List3</vt:lpstr>
      <vt:lpstr>List4</vt:lpstr>
      <vt:lpstr>Затраты!Заголовки_для_печати</vt:lpstr>
      <vt:lpstr>APM!Область_печати</vt:lpstr>
      <vt:lpstr>BPED!Область_печати</vt:lpstr>
      <vt:lpstr>COYT!Область_печати</vt:lpstr>
      <vt:lpstr>KOM!Область_печати</vt:lpstr>
      <vt:lpstr>Затраты!Область_печати</vt:lpstr>
      <vt:lpstr>Обучение!Область_печати</vt:lpstr>
      <vt:lpstr>СлужбаОТ!Область_печати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2014-11-13T14:22:35Z</cp:lastPrinted>
  <dcterms:created xsi:type="dcterms:W3CDTF">2006-09-28T05:33:49Z</dcterms:created>
  <dcterms:modified xsi:type="dcterms:W3CDTF">2018-12-12T10:23:53Z</dcterms:modified>
</cp:coreProperties>
</file>